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9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BV10 .U5 1937</t>
        </is>
      </c>
      <c r="C2" t="inlineStr">
        <is>
          <t>0                      BV 0010000U  5           1937</t>
        </is>
      </c>
      <c r="D2" t="inlineStr">
        <is>
          <t>Worship / by Evelyn Underhill.</t>
        </is>
      </c>
      <c r="F2" t="inlineStr">
        <is>
          <t>No</t>
        </is>
      </c>
      <c r="G2" t="inlineStr">
        <is>
          <t>1</t>
        </is>
      </c>
      <c r="H2" t="inlineStr">
        <is>
          <t>No</t>
        </is>
      </c>
      <c r="I2" t="inlineStr">
        <is>
          <t>No</t>
        </is>
      </c>
      <c r="J2" t="inlineStr">
        <is>
          <t>0</t>
        </is>
      </c>
      <c r="K2" t="inlineStr">
        <is>
          <t>Underhill, Evelyn, 1875-1941.</t>
        </is>
      </c>
      <c r="L2" t="inlineStr">
        <is>
          <t>London : Nisbet, 1937, 1948 printing.</t>
        </is>
      </c>
      <c r="M2" t="inlineStr">
        <is>
          <t>1937</t>
        </is>
      </c>
      <c r="N2" t="inlineStr">
        <is>
          <t>3d ed.</t>
        </is>
      </c>
      <c r="O2" t="inlineStr">
        <is>
          <t>eng</t>
        </is>
      </c>
      <c r="P2" t="inlineStr">
        <is>
          <t>enk</t>
        </is>
      </c>
      <c r="Q2" t="inlineStr">
        <is>
          <t>The Library of constructive theology</t>
        </is>
      </c>
      <c r="R2" t="inlineStr">
        <is>
          <t xml:space="preserve">BV </t>
        </is>
      </c>
      <c r="S2" t="n">
        <v>3</v>
      </c>
      <c r="T2" t="n">
        <v>3</v>
      </c>
      <c r="U2" t="inlineStr">
        <is>
          <t>1995-01-13</t>
        </is>
      </c>
      <c r="V2" t="inlineStr">
        <is>
          <t>1995-01-13</t>
        </is>
      </c>
      <c r="W2" t="inlineStr">
        <is>
          <t>1991-07-11</t>
        </is>
      </c>
      <c r="X2" t="inlineStr">
        <is>
          <t>1991-07-11</t>
        </is>
      </c>
      <c r="Y2" t="n">
        <v>50</v>
      </c>
      <c r="Z2" t="n">
        <v>30</v>
      </c>
      <c r="AA2" t="n">
        <v>958</v>
      </c>
      <c r="AB2" t="n">
        <v>1</v>
      </c>
      <c r="AC2" t="n">
        <v>8</v>
      </c>
      <c r="AD2" t="n">
        <v>1</v>
      </c>
      <c r="AE2" t="n">
        <v>40</v>
      </c>
      <c r="AF2" t="n">
        <v>0</v>
      </c>
      <c r="AG2" t="n">
        <v>16</v>
      </c>
      <c r="AH2" t="n">
        <v>0</v>
      </c>
      <c r="AI2" t="n">
        <v>7</v>
      </c>
      <c r="AJ2" t="n">
        <v>1</v>
      </c>
      <c r="AK2" t="n">
        <v>22</v>
      </c>
      <c r="AL2" t="n">
        <v>0</v>
      </c>
      <c r="AM2" t="n">
        <v>5</v>
      </c>
      <c r="AN2" t="n">
        <v>0</v>
      </c>
      <c r="AO2" t="n">
        <v>0</v>
      </c>
      <c r="AP2" t="inlineStr">
        <is>
          <t>No</t>
        </is>
      </c>
      <c r="AQ2" t="inlineStr">
        <is>
          <t>No</t>
        </is>
      </c>
      <c r="AS2">
        <f>HYPERLINK("https://creighton-primo.hosted.exlibrisgroup.com/primo-explore/search?tab=default_tab&amp;search_scope=EVERYTHING&amp;vid=01CRU&amp;lang=en_US&amp;offset=0&amp;query=any,contains,991004987259702656","Catalog Record")</f>
        <v/>
      </c>
      <c r="AT2">
        <f>HYPERLINK("http://www.worldcat.org/oclc/6463645","WorldCat Record")</f>
        <v/>
      </c>
      <c r="AU2" t="inlineStr">
        <is>
          <t>491126:eng</t>
        </is>
      </c>
      <c r="AV2" t="inlineStr">
        <is>
          <t>6463645</t>
        </is>
      </c>
      <c r="AW2" t="inlineStr">
        <is>
          <t>991004987259702656</t>
        </is>
      </c>
      <c r="AX2" t="inlineStr">
        <is>
          <t>991004987259702656</t>
        </is>
      </c>
      <c r="AY2" t="inlineStr">
        <is>
          <t>2258633460002656</t>
        </is>
      </c>
      <c r="AZ2" t="inlineStr">
        <is>
          <t>BOOK</t>
        </is>
      </c>
      <c r="BC2" t="inlineStr">
        <is>
          <t>32285000637354</t>
        </is>
      </c>
      <c r="BD2" t="inlineStr">
        <is>
          <t>893801565</t>
        </is>
      </c>
    </row>
    <row r="3">
      <c r="A3" t="inlineStr">
        <is>
          <t>No</t>
        </is>
      </c>
      <c r="B3" t="inlineStr">
        <is>
          <t>BV10.2 .C8</t>
        </is>
      </c>
      <c r="C3" t="inlineStr">
        <is>
          <t>0                      BV 0010200C  8</t>
        </is>
      </c>
      <c r="D3" t="inlineStr">
        <is>
          <t>Christian worship and church education / by Iris V. Cully.</t>
        </is>
      </c>
      <c r="F3" t="inlineStr">
        <is>
          <t>No</t>
        </is>
      </c>
      <c r="G3" t="inlineStr">
        <is>
          <t>1</t>
        </is>
      </c>
      <c r="H3" t="inlineStr">
        <is>
          <t>No</t>
        </is>
      </c>
      <c r="I3" t="inlineStr">
        <is>
          <t>No</t>
        </is>
      </c>
      <c r="J3" t="inlineStr">
        <is>
          <t>0</t>
        </is>
      </c>
      <c r="K3" t="inlineStr">
        <is>
          <t>Cully, Iris V.</t>
        </is>
      </c>
      <c r="L3" t="inlineStr">
        <is>
          <t>Philadelphia, Westminster Press [1967]</t>
        </is>
      </c>
      <c r="M3" t="inlineStr">
        <is>
          <t>1967</t>
        </is>
      </c>
      <c r="O3" t="inlineStr">
        <is>
          <t>eng</t>
        </is>
      </c>
      <c r="P3" t="inlineStr">
        <is>
          <t>pau</t>
        </is>
      </c>
      <c r="R3" t="inlineStr">
        <is>
          <t xml:space="preserve">BV </t>
        </is>
      </c>
      <c r="S3" t="n">
        <v>1</v>
      </c>
      <c r="T3" t="n">
        <v>1</v>
      </c>
      <c r="U3" t="inlineStr">
        <is>
          <t>2001-04-01</t>
        </is>
      </c>
      <c r="V3" t="inlineStr">
        <is>
          <t>2001-04-01</t>
        </is>
      </c>
      <c r="W3" t="inlineStr">
        <is>
          <t>1991-11-07</t>
        </is>
      </c>
      <c r="X3" t="inlineStr">
        <is>
          <t>1991-11-07</t>
        </is>
      </c>
      <c r="Y3" t="n">
        <v>230</v>
      </c>
      <c r="Z3" t="n">
        <v>206</v>
      </c>
      <c r="AA3" t="n">
        <v>207</v>
      </c>
      <c r="AB3" t="n">
        <v>3</v>
      </c>
      <c r="AC3" t="n">
        <v>3</v>
      </c>
      <c r="AD3" t="n">
        <v>9</v>
      </c>
      <c r="AE3" t="n">
        <v>9</v>
      </c>
      <c r="AF3" t="n">
        <v>3</v>
      </c>
      <c r="AG3" t="n">
        <v>3</v>
      </c>
      <c r="AH3" t="n">
        <v>3</v>
      </c>
      <c r="AI3" t="n">
        <v>3</v>
      </c>
      <c r="AJ3" t="n">
        <v>3</v>
      </c>
      <c r="AK3" t="n">
        <v>3</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HYPERLINK("https://creighton-primo.hosted.exlibrisgroup.com/primo-explore/search?tab=default_tab&amp;search_scope=EVERYTHING&amp;vid=01CRU&amp;lang=en_US&amp;offset=0&amp;query=any,contains,991003522009702656","Catalog Record")</f>
        <v/>
      </c>
      <c r="AT3">
        <f>HYPERLINK("http://www.worldcat.org/oclc/1084059","WorldCat Record")</f>
        <v/>
      </c>
      <c r="AU3" t="inlineStr">
        <is>
          <t>2048832:eng</t>
        </is>
      </c>
      <c r="AV3" t="inlineStr">
        <is>
          <t>1084059</t>
        </is>
      </c>
      <c r="AW3" t="inlineStr">
        <is>
          <t>991003522009702656</t>
        </is>
      </c>
      <c r="AX3" t="inlineStr">
        <is>
          <t>991003522009702656</t>
        </is>
      </c>
      <c r="AY3" t="inlineStr">
        <is>
          <t>2269007190002656</t>
        </is>
      </c>
      <c r="AZ3" t="inlineStr">
        <is>
          <t>BOOK</t>
        </is>
      </c>
      <c r="BC3" t="inlineStr">
        <is>
          <t>32285000809797</t>
        </is>
      </c>
      <c r="BD3" t="inlineStr">
        <is>
          <t>893810029</t>
        </is>
      </c>
    </row>
    <row r="4">
      <c r="A4" t="inlineStr">
        <is>
          <t>No</t>
        </is>
      </c>
      <c r="B4" t="inlineStr">
        <is>
          <t>BV10.2 .M3</t>
        </is>
      </c>
      <c r="C4" t="inlineStr">
        <is>
          <t>0                      BV 0010200M  3</t>
        </is>
      </c>
      <c r="D4" t="inlineStr">
        <is>
          <t>Liturgy and Christian unity / [by] Romey P. Marshall [and] Michael J. Taylor.</t>
        </is>
      </c>
      <c r="F4" t="inlineStr">
        <is>
          <t>No</t>
        </is>
      </c>
      <c r="G4" t="inlineStr">
        <is>
          <t>1</t>
        </is>
      </c>
      <c r="H4" t="inlineStr">
        <is>
          <t>No</t>
        </is>
      </c>
      <c r="I4" t="inlineStr">
        <is>
          <t>No</t>
        </is>
      </c>
      <c r="J4" t="inlineStr">
        <is>
          <t>0</t>
        </is>
      </c>
      <c r="K4" t="inlineStr">
        <is>
          <t>Marshall, Romey P.</t>
        </is>
      </c>
      <c r="L4" t="inlineStr">
        <is>
          <t>Englewood Cliffs, N. J., Prentice-Hall [1965]</t>
        </is>
      </c>
      <c r="M4" t="inlineStr">
        <is>
          <t>1965</t>
        </is>
      </c>
      <c r="O4" t="inlineStr">
        <is>
          <t>eng</t>
        </is>
      </c>
      <c r="P4" t="inlineStr">
        <is>
          <t xml:space="preserve">nj </t>
        </is>
      </c>
      <c r="R4" t="inlineStr">
        <is>
          <t xml:space="preserve">BV </t>
        </is>
      </c>
      <c r="S4" t="n">
        <v>3</v>
      </c>
      <c r="T4" t="n">
        <v>3</v>
      </c>
      <c r="U4" t="inlineStr">
        <is>
          <t>1999-02-02</t>
        </is>
      </c>
      <c r="V4" t="inlineStr">
        <is>
          <t>1999-02-02</t>
        </is>
      </c>
      <c r="W4" t="inlineStr">
        <is>
          <t>1991-11-07</t>
        </is>
      </c>
      <c r="X4" t="inlineStr">
        <is>
          <t>1991-11-07</t>
        </is>
      </c>
      <c r="Y4" t="n">
        <v>327</v>
      </c>
      <c r="Z4" t="n">
        <v>287</v>
      </c>
      <c r="AA4" t="n">
        <v>292</v>
      </c>
      <c r="AB4" t="n">
        <v>2</v>
      </c>
      <c r="AC4" t="n">
        <v>2</v>
      </c>
      <c r="AD4" t="n">
        <v>30</v>
      </c>
      <c r="AE4" t="n">
        <v>30</v>
      </c>
      <c r="AF4" t="n">
        <v>11</v>
      </c>
      <c r="AG4" t="n">
        <v>11</v>
      </c>
      <c r="AH4" t="n">
        <v>7</v>
      </c>
      <c r="AI4" t="n">
        <v>7</v>
      </c>
      <c r="AJ4" t="n">
        <v>23</v>
      </c>
      <c r="AK4" t="n">
        <v>23</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HYPERLINK("https://creighton-primo.hosted.exlibrisgroup.com/primo-explore/search?tab=default_tab&amp;search_scope=EVERYTHING&amp;vid=01CRU&amp;lang=en_US&amp;offset=0&amp;query=any,contains,991003933129702656","Catalog Record")</f>
        <v/>
      </c>
      <c r="AT4">
        <f>HYPERLINK("http://www.worldcat.org/oclc/1904960","WorldCat Record")</f>
        <v/>
      </c>
      <c r="AU4" t="inlineStr">
        <is>
          <t>2598960:eng</t>
        </is>
      </c>
      <c r="AV4" t="inlineStr">
        <is>
          <t>1904960</t>
        </is>
      </c>
      <c r="AW4" t="inlineStr">
        <is>
          <t>991003933129702656</t>
        </is>
      </c>
      <c r="AX4" t="inlineStr">
        <is>
          <t>991003933129702656</t>
        </is>
      </c>
      <c r="AY4" t="inlineStr">
        <is>
          <t>2257734350002656</t>
        </is>
      </c>
      <c r="AZ4" t="inlineStr">
        <is>
          <t>BOOK</t>
        </is>
      </c>
      <c r="BC4" t="inlineStr">
        <is>
          <t>32285000809821</t>
        </is>
      </c>
      <c r="BD4" t="inlineStr">
        <is>
          <t>893349403</t>
        </is>
      </c>
    </row>
    <row r="5">
      <c r="A5" t="inlineStr">
        <is>
          <t>No</t>
        </is>
      </c>
      <c r="B5" t="inlineStr">
        <is>
          <t>BV10.2 .S73 1992</t>
        </is>
      </c>
      <c r="C5" t="inlineStr">
        <is>
          <t>0                      BV 0010200S  73          1992</t>
        </is>
      </c>
      <c r="D5" t="inlineStr">
        <is>
          <t>Worship : wonderful and sacred mystery / Kenneth W. Stevenson.</t>
        </is>
      </c>
      <c r="F5" t="inlineStr">
        <is>
          <t>No</t>
        </is>
      </c>
      <c r="G5" t="inlineStr">
        <is>
          <t>1</t>
        </is>
      </c>
      <c r="H5" t="inlineStr">
        <is>
          <t>No</t>
        </is>
      </c>
      <c r="I5" t="inlineStr">
        <is>
          <t>No</t>
        </is>
      </c>
      <c r="J5" t="inlineStr">
        <is>
          <t>0</t>
        </is>
      </c>
      <c r="K5" t="inlineStr">
        <is>
          <t>Stevenson, Kenneth (Kenneth W.)</t>
        </is>
      </c>
      <c r="L5" t="inlineStr">
        <is>
          <t>Washington, D. C. : Pastoral Press, 1992.</t>
        </is>
      </c>
      <c r="M5" t="inlineStr">
        <is>
          <t>1992</t>
        </is>
      </c>
      <c r="O5" t="inlineStr">
        <is>
          <t>eng</t>
        </is>
      </c>
      <c r="P5" t="inlineStr">
        <is>
          <t>dcu</t>
        </is>
      </c>
      <c r="R5" t="inlineStr">
        <is>
          <t xml:space="preserve">BV </t>
        </is>
      </c>
      <c r="S5" t="n">
        <v>4</v>
      </c>
      <c r="T5" t="n">
        <v>4</v>
      </c>
      <c r="U5" t="inlineStr">
        <is>
          <t>1998-03-18</t>
        </is>
      </c>
      <c r="V5" t="inlineStr">
        <is>
          <t>1998-03-18</t>
        </is>
      </c>
      <c r="W5" t="inlineStr">
        <is>
          <t>1994-04-21</t>
        </is>
      </c>
      <c r="X5" t="inlineStr">
        <is>
          <t>1994-04-21</t>
        </is>
      </c>
      <c r="Y5" t="n">
        <v>106</v>
      </c>
      <c r="Z5" t="n">
        <v>80</v>
      </c>
      <c r="AA5" t="n">
        <v>81</v>
      </c>
      <c r="AB5" t="n">
        <v>1</v>
      </c>
      <c r="AC5" t="n">
        <v>1</v>
      </c>
      <c r="AD5" t="n">
        <v>7</v>
      </c>
      <c r="AE5" t="n">
        <v>7</v>
      </c>
      <c r="AF5" t="n">
        <v>2</v>
      </c>
      <c r="AG5" t="n">
        <v>2</v>
      </c>
      <c r="AH5" t="n">
        <v>3</v>
      </c>
      <c r="AI5" t="n">
        <v>3</v>
      </c>
      <c r="AJ5" t="n">
        <v>4</v>
      </c>
      <c r="AK5" t="n">
        <v>4</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HYPERLINK("https://creighton-primo.hosted.exlibrisgroup.com/primo-explore/search?tab=default_tab&amp;search_scope=EVERYTHING&amp;vid=01CRU&amp;lang=en_US&amp;offset=0&amp;query=any,contains,991002070299702656","Catalog Record")</f>
        <v/>
      </c>
      <c r="AT5">
        <f>HYPERLINK("http://www.worldcat.org/oclc/31969848","WorldCat Record")</f>
        <v/>
      </c>
      <c r="AU5" t="inlineStr">
        <is>
          <t>2261223125:eng</t>
        </is>
      </c>
      <c r="AV5" t="inlineStr">
        <is>
          <t>31969848</t>
        </is>
      </c>
      <c r="AW5" t="inlineStr">
        <is>
          <t>991002070299702656</t>
        </is>
      </c>
      <c r="AX5" t="inlineStr">
        <is>
          <t>991002070299702656</t>
        </is>
      </c>
      <c r="AY5" t="inlineStr">
        <is>
          <t>2265496660002656</t>
        </is>
      </c>
      <c r="AZ5" t="inlineStr">
        <is>
          <t>BOOK</t>
        </is>
      </c>
      <c r="BB5" t="inlineStr">
        <is>
          <t>9780912405902</t>
        </is>
      </c>
      <c r="BC5" t="inlineStr">
        <is>
          <t>32285001875722</t>
        </is>
      </c>
      <c r="BD5" t="inlineStr">
        <is>
          <t>893626938</t>
        </is>
      </c>
    </row>
    <row r="6">
      <c r="A6" t="inlineStr">
        <is>
          <t>No</t>
        </is>
      </c>
      <c r="B6" t="inlineStr">
        <is>
          <t>BV111 .B33</t>
        </is>
      </c>
      <c r="C6" t="inlineStr">
        <is>
          <t>0                      BV 0111000B  33</t>
        </is>
      </c>
      <c r="D6" t="inlineStr">
        <is>
          <t>From Sabbath to Sunday : a historical investigation of the rise of Sunday observance in early Christianity / Samuele Bacchiocchi.</t>
        </is>
      </c>
      <c r="F6" t="inlineStr">
        <is>
          <t>No</t>
        </is>
      </c>
      <c r="G6" t="inlineStr">
        <is>
          <t>1</t>
        </is>
      </c>
      <c r="H6" t="inlineStr">
        <is>
          <t>No</t>
        </is>
      </c>
      <c r="I6" t="inlineStr">
        <is>
          <t>No</t>
        </is>
      </c>
      <c r="J6" t="inlineStr">
        <is>
          <t>0</t>
        </is>
      </c>
      <c r="K6" t="inlineStr">
        <is>
          <t>Bacchiocchi, Samuele.</t>
        </is>
      </c>
      <c r="L6" t="inlineStr">
        <is>
          <t>Rome : Pontifical Gregorian university, 1977.</t>
        </is>
      </c>
      <c r="M6" t="inlineStr">
        <is>
          <t>1977</t>
        </is>
      </c>
      <c r="O6" t="inlineStr">
        <is>
          <t>eng</t>
        </is>
      </c>
      <c r="P6" t="inlineStr">
        <is>
          <t xml:space="preserve">it </t>
        </is>
      </c>
      <c r="R6" t="inlineStr">
        <is>
          <t xml:space="preserve">BV </t>
        </is>
      </c>
      <c r="S6" t="n">
        <v>7</v>
      </c>
      <c r="T6" t="n">
        <v>7</v>
      </c>
      <c r="U6" t="inlineStr">
        <is>
          <t>2005-05-31</t>
        </is>
      </c>
      <c r="V6" t="inlineStr">
        <is>
          <t>2005-05-31</t>
        </is>
      </c>
      <c r="W6" t="inlineStr">
        <is>
          <t>1991-11-11</t>
        </is>
      </c>
      <c r="X6" t="inlineStr">
        <is>
          <t>1991-11-11</t>
        </is>
      </c>
      <c r="Y6" t="n">
        <v>497</v>
      </c>
      <c r="Z6" t="n">
        <v>387</v>
      </c>
      <c r="AA6" t="n">
        <v>394</v>
      </c>
      <c r="AB6" t="n">
        <v>3</v>
      </c>
      <c r="AC6" t="n">
        <v>3</v>
      </c>
      <c r="AD6" t="n">
        <v>24</v>
      </c>
      <c r="AE6" t="n">
        <v>24</v>
      </c>
      <c r="AF6" t="n">
        <v>9</v>
      </c>
      <c r="AG6" t="n">
        <v>9</v>
      </c>
      <c r="AH6" t="n">
        <v>6</v>
      </c>
      <c r="AI6" t="n">
        <v>6</v>
      </c>
      <c r="AJ6" t="n">
        <v>11</v>
      </c>
      <c r="AK6" t="n">
        <v>11</v>
      </c>
      <c r="AL6" t="n">
        <v>1</v>
      </c>
      <c r="AM6" t="n">
        <v>1</v>
      </c>
      <c r="AN6" t="n">
        <v>0</v>
      </c>
      <c r="AO6" t="n">
        <v>0</v>
      </c>
      <c r="AP6" t="inlineStr">
        <is>
          <t>No</t>
        </is>
      </c>
      <c r="AQ6" t="inlineStr">
        <is>
          <t>Yes</t>
        </is>
      </c>
      <c r="AR6">
        <f>HYPERLINK("http://catalog.hathitrust.org/Record/003492461","HathiTrust Record")</f>
        <v/>
      </c>
      <c r="AS6">
        <f>HYPERLINK("https://creighton-primo.hosted.exlibrisgroup.com/primo-explore/search?tab=default_tab&amp;search_scope=EVERYTHING&amp;vid=01CRU&amp;lang=en_US&amp;offset=0&amp;query=any,contains,991004401589702656","Catalog Record")</f>
        <v/>
      </c>
      <c r="AT6">
        <f>HYPERLINK("http://www.worldcat.org/oclc/3303118","WorldCat Record")</f>
        <v/>
      </c>
      <c r="AU6" t="inlineStr">
        <is>
          <t>9221826:eng</t>
        </is>
      </c>
      <c r="AV6" t="inlineStr">
        <is>
          <t>3303118</t>
        </is>
      </c>
      <c r="AW6" t="inlineStr">
        <is>
          <t>991004401589702656</t>
        </is>
      </c>
      <c r="AX6" t="inlineStr">
        <is>
          <t>991004401589702656</t>
        </is>
      </c>
      <c r="AY6" t="inlineStr">
        <is>
          <t>2262834590002656</t>
        </is>
      </c>
      <c r="AZ6" t="inlineStr">
        <is>
          <t>BOOK</t>
        </is>
      </c>
      <c r="BC6" t="inlineStr">
        <is>
          <t>32285000835339</t>
        </is>
      </c>
      <c r="BD6" t="inlineStr">
        <is>
          <t>893687688</t>
        </is>
      </c>
    </row>
    <row r="7">
      <c r="A7" t="inlineStr">
        <is>
          <t>No</t>
        </is>
      </c>
      <c r="B7" t="inlineStr">
        <is>
          <t>BV111 .B37</t>
        </is>
      </c>
      <c r="C7" t="inlineStr">
        <is>
          <t>0                      BV 0111000B  37</t>
        </is>
      </c>
      <c r="D7" t="inlineStr">
        <is>
          <t>This is the day : the Biblical doctrine of the Christian Sunday in its Jewish and early church setting / Roger T. Beckwith and Wilfrid Stott.</t>
        </is>
      </c>
      <c r="F7" t="inlineStr">
        <is>
          <t>No</t>
        </is>
      </c>
      <c r="G7" t="inlineStr">
        <is>
          <t>1</t>
        </is>
      </c>
      <c r="H7" t="inlineStr">
        <is>
          <t>No</t>
        </is>
      </c>
      <c r="I7" t="inlineStr">
        <is>
          <t>No</t>
        </is>
      </c>
      <c r="J7" t="inlineStr">
        <is>
          <t>0</t>
        </is>
      </c>
      <c r="K7" t="inlineStr">
        <is>
          <t>Beckwith, Roger T.</t>
        </is>
      </c>
      <c r="L7" t="inlineStr">
        <is>
          <t>London : Marshall, Morgan and Scott, 1978.</t>
        </is>
      </c>
      <c r="M7" t="inlineStr">
        <is>
          <t>1978</t>
        </is>
      </c>
      <c r="O7" t="inlineStr">
        <is>
          <t>eng</t>
        </is>
      </c>
      <c r="P7" t="inlineStr">
        <is>
          <t>enk</t>
        </is>
      </c>
      <c r="R7" t="inlineStr">
        <is>
          <t xml:space="preserve">BV </t>
        </is>
      </c>
      <c r="S7" t="n">
        <v>5</v>
      </c>
      <c r="T7" t="n">
        <v>5</v>
      </c>
      <c r="U7" t="inlineStr">
        <is>
          <t>2008-10-09</t>
        </is>
      </c>
      <c r="V7" t="inlineStr">
        <is>
          <t>2008-10-09</t>
        </is>
      </c>
      <c r="W7" t="inlineStr">
        <is>
          <t>1991-11-11</t>
        </is>
      </c>
      <c r="X7" t="inlineStr">
        <is>
          <t>1991-11-11</t>
        </is>
      </c>
      <c r="Y7" t="n">
        <v>177</v>
      </c>
      <c r="Z7" t="n">
        <v>125</v>
      </c>
      <c r="AA7" t="n">
        <v>151</v>
      </c>
      <c r="AB7" t="n">
        <v>5</v>
      </c>
      <c r="AC7" t="n">
        <v>5</v>
      </c>
      <c r="AD7" t="n">
        <v>8</v>
      </c>
      <c r="AE7" t="n">
        <v>9</v>
      </c>
      <c r="AF7" t="n">
        <v>2</v>
      </c>
      <c r="AG7" t="n">
        <v>2</v>
      </c>
      <c r="AH7" t="n">
        <v>2</v>
      </c>
      <c r="AI7" t="n">
        <v>3</v>
      </c>
      <c r="AJ7" t="n">
        <v>2</v>
      </c>
      <c r="AK7" t="n">
        <v>2</v>
      </c>
      <c r="AL7" t="n">
        <v>3</v>
      </c>
      <c r="AM7" t="n">
        <v>3</v>
      </c>
      <c r="AN7" t="n">
        <v>0</v>
      </c>
      <c r="AO7" t="n">
        <v>0</v>
      </c>
      <c r="AP7" t="inlineStr">
        <is>
          <t>No</t>
        </is>
      </c>
      <c r="AQ7" t="inlineStr">
        <is>
          <t>No</t>
        </is>
      </c>
      <c r="AS7">
        <f>HYPERLINK("https://creighton-primo.hosted.exlibrisgroup.com/primo-explore/search?tab=default_tab&amp;search_scope=EVERYTHING&amp;vid=01CRU&amp;lang=en_US&amp;offset=0&amp;query=any,contains,991004625069702656","Catalog Record")</f>
        <v/>
      </c>
      <c r="AT7">
        <f>HYPERLINK("http://www.worldcat.org/oclc/4333251","WorldCat Record")</f>
        <v/>
      </c>
      <c r="AU7" t="inlineStr">
        <is>
          <t>510367:eng</t>
        </is>
      </c>
      <c r="AV7" t="inlineStr">
        <is>
          <t>4333251</t>
        </is>
      </c>
      <c r="AW7" t="inlineStr">
        <is>
          <t>991004625069702656</t>
        </is>
      </c>
      <c r="AX7" t="inlineStr">
        <is>
          <t>991004625069702656</t>
        </is>
      </c>
      <c r="AY7" t="inlineStr">
        <is>
          <t>2268367720002656</t>
        </is>
      </c>
      <c r="AZ7" t="inlineStr">
        <is>
          <t>BOOK</t>
        </is>
      </c>
      <c r="BB7" t="inlineStr">
        <is>
          <t>9780551055681</t>
        </is>
      </c>
      <c r="BC7" t="inlineStr">
        <is>
          <t>32285000835347</t>
        </is>
      </c>
      <c r="BD7" t="inlineStr">
        <is>
          <t>893801154</t>
        </is>
      </c>
    </row>
    <row r="8">
      <c r="A8" t="inlineStr">
        <is>
          <t>No</t>
        </is>
      </c>
      <c r="B8" t="inlineStr">
        <is>
          <t>BV111 .F76 1982</t>
        </is>
      </c>
      <c r="C8" t="inlineStr">
        <is>
          <t>0                      BV 0111000F  76          1982</t>
        </is>
      </c>
      <c r="D8" t="inlineStr">
        <is>
          <t>From Sabbath to Lord's Day : a Biblical, historical, and theological investigation / edited by D.A. Carson.</t>
        </is>
      </c>
      <c r="F8" t="inlineStr">
        <is>
          <t>No</t>
        </is>
      </c>
      <c r="G8" t="inlineStr">
        <is>
          <t>1</t>
        </is>
      </c>
      <c r="H8" t="inlineStr">
        <is>
          <t>No</t>
        </is>
      </c>
      <c r="I8" t="inlineStr">
        <is>
          <t>No</t>
        </is>
      </c>
      <c r="J8" t="inlineStr">
        <is>
          <t>0</t>
        </is>
      </c>
      <c r="L8" t="inlineStr">
        <is>
          <t>Grand Rapids, Mich. : Zondervan, c1982.</t>
        </is>
      </c>
      <c r="M8" t="inlineStr">
        <is>
          <t>1982</t>
        </is>
      </c>
      <c r="O8" t="inlineStr">
        <is>
          <t>eng</t>
        </is>
      </c>
      <c r="P8" t="inlineStr">
        <is>
          <t>miu</t>
        </is>
      </c>
      <c r="R8" t="inlineStr">
        <is>
          <t xml:space="preserve">BV </t>
        </is>
      </c>
      <c r="S8" t="n">
        <v>6</v>
      </c>
      <c r="T8" t="n">
        <v>6</v>
      </c>
      <c r="U8" t="inlineStr">
        <is>
          <t>2005-11-07</t>
        </is>
      </c>
      <c r="V8" t="inlineStr">
        <is>
          <t>2005-11-07</t>
        </is>
      </c>
      <c r="W8" t="inlineStr">
        <is>
          <t>1991-11-11</t>
        </is>
      </c>
      <c r="X8" t="inlineStr">
        <is>
          <t>1991-11-11</t>
        </is>
      </c>
      <c r="Y8" t="n">
        <v>380</v>
      </c>
      <c r="Z8" t="n">
        <v>294</v>
      </c>
      <c r="AA8" t="n">
        <v>344</v>
      </c>
      <c r="AB8" t="n">
        <v>3</v>
      </c>
      <c r="AC8" t="n">
        <v>3</v>
      </c>
      <c r="AD8" t="n">
        <v>15</v>
      </c>
      <c r="AE8" t="n">
        <v>16</v>
      </c>
      <c r="AF8" t="n">
        <v>6</v>
      </c>
      <c r="AG8" t="n">
        <v>6</v>
      </c>
      <c r="AH8" t="n">
        <v>3</v>
      </c>
      <c r="AI8" t="n">
        <v>4</v>
      </c>
      <c r="AJ8" t="n">
        <v>7</v>
      </c>
      <c r="AK8" t="n">
        <v>7</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HYPERLINK("https://creighton-primo.hosted.exlibrisgroup.com/primo-explore/search?tab=default_tab&amp;search_scope=EVERYTHING&amp;vid=01CRU&amp;lang=en_US&amp;offset=0&amp;query=any,contains,991005183019702656","Catalog Record")</f>
        <v/>
      </c>
      <c r="AT8">
        <f>HYPERLINK("http://www.worldcat.org/oclc/7947567","WorldCat Record")</f>
        <v/>
      </c>
      <c r="AU8" t="inlineStr">
        <is>
          <t>54472502:eng</t>
        </is>
      </c>
      <c r="AV8" t="inlineStr">
        <is>
          <t>7947567</t>
        </is>
      </c>
      <c r="AW8" t="inlineStr">
        <is>
          <t>991005183019702656</t>
        </is>
      </c>
      <c r="AX8" t="inlineStr">
        <is>
          <t>991005183019702656</t>
        </is>
      </c>
      <c r="AY8" t="inlineStr">
        <is>
          <t>2270202620002656</t>
        </is>
      </c>
      <c r="AZ8" t="inlineStr">
        <is>
          <t>BOOK</t>
        </is>
      </c>
      <c r="BB8" t="inlineStr">
        <is>
          <t>9780310445319</t>
        </is>
      </c>
      <c r="BC8" t="inlineStr">
        <is>
          <t>32285000835370</t>
        </is>
      </c>
      <c r="BD8" t="inlineStr">
        <is>
          <t>893344790</t>
        </is>
      </c>
    </row>
    <row r="9">
      <c r="A9" t="inlineStr">
        <is>
          <t>No</t>
        </is>
      </c>
      <c r="B9" t="inlineStr">
        <is>
          <t>BV111 .J48</t>
        </is>
      </c>
      <c r="C9" t="inlineStr">
        <is>
          <t>0                      BV 0111000J  48</t>
        </is>
      </c>
      <c r="D9" t="inlineStr">
        <is>
          <t>The Lord's day : a theological guide to the Christian day of worship / [by] Paul K. Jewett.</t>
        </is>
      </c>
      <c r="F9" t="inlineStr">
        <is>
          <t>No</t>
        </is>
      </c>
      <c r="G9" t="inlineStr">
        <is>
          <t>1</t>
        </is>
      </c>
      <c r="H9" t="inlineStr">
        <is>
          <t>No</t>
        </is>
      </c>
      <c r="I9" t="inlineStr">
        <is>
          <t>No</t>
        </is>
      </c>
      <c r="J9" t="inlineStr">
        <is>
          <t>0</t>
        </is>
      </c>
      <c r="K9" t="inlineStr">
        <is>
          <t>Jewett, Paul King.</t>
        </is>
      </c>
      <c r="L9" t="inlineStr">
        <is>
          <t>Grand Rapids, Mich., W. B. Eerdmans Pub. Co. [1971]</t>
        </is>
      </c>
      <c r="M9" t="inlineStr">
        <is>
          <t>1971</t>
        </is>
      </c>
      <c r="O9" t="inlineStr">
        <is>
          <t>eng</t>
        </is>
      </c>
      <c r="P9" t="inlineStr">
        <is>
          <t>miu</t>
        </is>
      </c>
      <c r="R9" t="inlineStr">
        <is>
          <t xml:space="preserve">BV </t>
        </is>
      </c>
      <c r="S9" t="n">
        <v>3</v>
      </c>
      <c r="T9" t="n">
        <v>3</v>
      </c>
      <c r="U9" t="inlineStr">
        <is>
          <t>1997-03-24</t>
        </is>
      </c>
      <c r="V9" t="inlineStr">
        <is>
          <t>1997-03-24</t>
        </is>
      </c>
      <c r="W9" t="inlineStr">
        <is>
          <t>1991-11-11</t>
        </is>
      </c>
      <c r="X9" t="inlineStr">
        <is>
          <t>1991-11-11</t>
        </is>
      </c>
      <c r="Y9" t="n">
        <v>276</v>
      </c>
      <c r="Z9" t="n">
        <v>244</v>
      </c>
      <c r="AA9" t="n">
        <v>249</v>
      </c>
      <c r="AB9" t="n">
        <v>3</v>
      </c>
      <c r="AC9" t="n">
        <v>3</v>
      </c>
      <c r="AD9" t="n">
        <v>9</v>
      </c>
      <c r="AE9" t="n">
        <v>9</v>
      </c>
      <c r="AF9" t="n">
        <v>5</v>
      </c>
      <c r="AG9" t="n">
        <v>5</v>
      </c>
      <c r="AH9" t="n">
        <v>1</v>
      </c>
      <c r="AI9" t="n">
        <v>1</v>
      </c>
      <c r="AJ9" t="n">
        <v>4</v>
      </c>
      <c r="AK9" t="n">
        <v>4</v>
      </c>
      <c r="AL9" t="n">
        <v>2</v>
      </c>
      <c r="AM9" t="n">
        <v>2</v>
      </c>
      <c r="AN9" t="n">
        <v>0</v>
      </c>
      <c r="AO9" t="n">
        <v>0</v>
      </c>
      <c r="AP9" t="inlineStr">
        <is>
          <t>No</t>
        </is>
      </c>
      <c r="AQ9" t="inlineStr">
        <is>
          <t>No</t>
        </is>
      </c>
      <c r="AS9">
        <f>HYPERLINK("https://creighton-primo.hosted.exlibrisgroup.com/primo-explore/search?tab=default_tab&amp;search_scope=EVERYTHING&amp;vid=01CRU&amp;lang=en_US&amp;offset=0&amp;query=any,contains,991001364109702656","Catalog Record")</f>
        <v/>
      </c>
      <c r="AT9">
        <f>HYPERLINK("http://www.worldcat.org/oclc/222183","WorldCat Record")</f>
        <v/>
      </c>
      <c r="AU9" t="inlineStr">
        <is>
          <t>1327674:eng</t>
        </is>
      </c>
      <c r="AV9" t="inlineStr">
        <is>
          <t>222183</t>
        </is>
      </c>
      <c r="AW9" t="inlineStr">
        <is>
          <t>991001364109702656</t>
        </is>
      </c>
      <c r="AX9" t="inlineStr">
        <is>
          <t>991001364109702656</t>
        </is>
      </c>
      <c r="AY9" t="inlineStr">
        <is>
          <t>2262173210002656</t>
        </is>
      </c>
      <c r="AZ9" t="inlineStr">
        <is>
          <t>BOOK</t>
        </is>
      </c>
      <c r="BC9" t="inlineStr">
        <is>
          <t>32285000835388</t>
        </is>
      </c>
      <c r="BD9" t="inlineStr">
        <is>
          <t>893346437</t>
        </is>
      </c>
    </row>
    <row r="10">
      <c r="A10" t="inlineStr">
        <is>
          <t>No</t>
        </is>
      </c>
      <c r="B10" t="inlineStr">
        <is>
          <t>BV111 .M35 2000</t>
        </is>
      </c>
      <c r="C10" t="inlineStr">
        <is>
          <t>0                      BV 0111000M  35          2000</t>
        </is>
      </c>
      <c r="D10" t="inlineStr">
        <is>
          <t>Holy day, holiday : the American Sunday / Alexis McCrossen.</t>
        </is>
      </c>
      <c r="F10" t="inlineStr">
        <is>
          <t>No</t>
        </is>
      </c>
      <c r="G10" t="inlineStr">
        <is>
          <t>1</t>
        </is>
      </c>
      <c r="H10" t="inlineStr">
        <is>
          <t>No</t>
        </is>
      </c>
      <c r="I10" t="inlineStr">
        <is>
          <t>No</t>
        </is>
      </c>
      <c r="J10" t="inlineStr">
        <is>
          <t>0</t>
        </is>
      </c>
      <c r="K10" t="inlineStr">
        <is>
          <t>McCrossen, Alexis.</t>
        </is>
      </c>
      <c r="L10" t="inlineStr">
        <is>
          <t>Ithaca : Cornell University Press, 2000.</t>
        </is>
      </c>
      <c r="M10" t="inlineStr">
        <is>
          <t>2000</t>
        </is>
      </c>
      <c r="O10" t="inlineStr">
        <is>
          <t>eng</t>
        </is>
      </c>
      <c r="P10" t="inlineStr">
        <is>
          <t>nyu</t>
        </is>
      </c>
      <c r="R10" t="inlineStr">
        <is>
          <t xml:space="preserve">BV </t>
        </is>
      </c>
      <c r="S10" t="n">
        <v>1</v>
      </c>
      <c r="T10" t="n">
        <v>1</v>
      </c>
      <c r="U10" t="inlineStr">
        <is>
          <t>2001-08-21</t>
        </is>
      </c>
      <c r="V10" t="inlineStr">
        <is>
          <t>2001-08-21</t>
        </is>
      </c>
      <c r="W10" t="inlineStr">
        <is>
          <t>2001-08-20</t>
        </is>
      </c>
      <c r="X10" t="inlineStr">
        <is>
          <t>2001-08-20</t>
        </is>
      </c>
      <c r="Y10" t="n">
        <v>699</v>
      </c>
      <c r="Z10" t="n">
        <v>645</v>
      </c>
      <c r="AA10" t="n">
        <v>797</v>
      </c>
      <c r="AB10" t="n">
        <v>3</v>
      </c>
      <c r="AC10" t="n">
        <v>3</v>
      </c>
      <c r="AD10" t="n">
        <v>40</v>
      </c>
      <c r="AE10" t="n">
        <v>44</v>
      </c>
      <c r="AF10" t="n">
        <v>21</v>
      </c>
      <c r="AG10" t="n">
        <v>24</v>
      </c>
      <c r="AH10" t="n">
        <v>6</v>
      </c>
      <c r="AI10" t="n">
        <v>8</v>
      </c>
      <c r="AJ10" t="n">
        <v>16</v>
      </c>
      <c r="AK10" t="n">
        <v>18</v>
      </c>
      <c r="AL10" t="n">
        <v>2</v>
      </c>
      <c r="AM10" t="n">
        <v>2</v>
      </c>
      <c r="AN10" t="n">
        <v>3</v>
      </c>
      <c r="AO10" t="n">
        <v>3</v>
      </c>
      <c r="AP10" t="inlineStr">
        <is>
          <t>No</t>
        </is>
      </c>
      <c r="AQ10" t="inlineStr">
        <is>
          <t>Yes</t>
        </is>
      </c>
      <c r="AR10">
        <f>HYPERLINK("http://catalog.hathitrust.org/Record/004102517","HathiTrust Record")</f>
        <v/>
      </c>
      <c r="AS10">
        <f>HYPERLINK("https://creighton-primo.hosted.exlibrisgroup.com/primo-explore/search?tab=default_tab&amp;search_scope=EVERYTHING&amp;vid=01CRU&amp;lang=en_US&amp;offset=0&amp;query=any,contains,991003575799702656","Catalog Record")</f>
        <v/>
      </c>
      <c r="AT10">
        <f>HYPERLINK("http://www.worldcat.org/oclc/42690243","WorldCat Record")</f>
        <v/>
      </c>
      <c r="AU10" t="inlineStr">
        <is>
          <t>38336032:eng</t>
        </is>
      </c>
      <c r="AV10" t="inlineStr">
        <is>
          <t>42690243</t>
        </is>
      </c>
      <c r="AW10" t="inlineStr">
        <is>
          <t>991003575799702656</t>
        </is>
      </c>
      <c r="AX10" t="inlineStr">
        <is>
          <t>991003575799702656</t>
        </is>
      </c>
      <c r="AY10" t="inlineStr">
        <is>
          <t>2259109430002656</t>
        </is>
      </c>
      <c r="AZ10" t="inlineStr">
        <is>
          <t>BOOK</t>
        </is>
      </c>
      <c r="BB10" t="inlineStr">
        <is>
          <t>9780801434174</t>
        </is>
      </c>
      <c r="BC10" t="inlineStr">
        <is>
          <t>32285004378294</t>
        </is>
      </c>
      <c r="BD10" t="inlineStr">
        <is>
          <t>893717817</t>
        </is>
      </c>
    </row>
    <row r="11">
      <c r="A11" t="inlineStr">
        <is>
          <t>No</t>
        </is>
      </c>
      <c r="B11" t="inlineStr">
        <is>
          <t>BV111 .N67 1981</t>
        </is>
      </c>
      <c r="C11" t="inlineStr">
        <is>
          <t>0                      BV 0111000N  67          1981</t>
        </is>
      </c>
      <c r="D11" t="inlineStr">
        <is>
          <t>Sunday morning : a time for worship / edited by Mark Searle.</t>
        </is>
      </c>
      <c r="F11" t="inlineStr">
        <is>
          <t>No</t>
        </is>
      </c>
      <c r="G11" t="inlineStr">
        <is>
          <t>1</t>
        </is>
      </c>
      <c r="H11" t="inlineStr">
        <is>
          <t>No</t>
        </is>
      </c>
      <c r="I11" t="inlineStr">
        <is>
          <t>No</t>
        </is>
      </c>
      <c r="J11" t="inlineStr">
        <is>
          <t>0</t>
        </is>
      </c>
      <c r="K11" t="inlineStr">
        <is>
          <t>Notre Dame Center for Pastoral Liturgy. Conference (10th : 1981 : University of Notre Dame)</t>
        </is>
      </c>
      <c r="L11" t="inlineStr">
        <is>
          <t>Collegeville, Minn. : Liturgical Press, 1982.</t>
        </is>
      </c>
      <c r="M11" t="inlineStr">
        <is>
          <t>1982</t>
        </is>
      </c>
      <c r="O11" t="inlineStr">
        <is>
          <t>eng</t>
        </is>
      </c>
      <c r="P11" t="inlineStr">
        <is>
          <t>mnu</t>
        </is>
      </c>
      <c r="R11" t="inlineStr">
        <is>
          <t xml:space="preserve">BV </t>
        </is>
      </c>
      <c r="S11" t="n">
        <v>7</v>
      </c>
      <c r="T11" t="n">
        <v>7</v>
      </c>
      <c r="U11" t="inlineStr">
        <is>
          <t>2005-12-17</t>
        </is>
      </c>
      <c r="V11" t="inlineStr">
        <is>
          <t>2005-12-17</t>
        </is>
      </c>
      <c r="W11" t="inlineStr">
        <is>
          <t>1991-11-11</t>
        </is>
      </c>
      <c r="X11" t="inlineStr">
        <is>
          <t>1991-11-11</t>
        </is>
      </c>
      <c r="Y11" t="n">
        <v>159</v>
      </c>
      <c r="Z11" t="n">
        <v>127</v>
      </c>
      <c r="AA11" t="n">
        <v>132</v>
      </c>
      <c r="AB11" t="n">
        <v>1</v>
      </c>
      <c r="AC11" t="n">
        <v>1</v>
      </c>
      <c r="AD11" t="n">
        <v>17</v>
      </c>
      <c r="AE11" t="n">
        <v>17</v>
      </c>
      <c r="AF11" t="n">
        <v>3</v>
      </c>
      <c r="AG11" t="n">
        <v>3</v>
      </c>
      <c r="AH11" t="n">
        <v>7</v>
      </c>
      <c r="AI11" t="n">
        <v>7</v>
      </c>
      <c r="AJ11" t="n">
        <v>12</v>
      </c>
      <c r="AK11" t="n">
        <v>12</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HYPERLINK("https://creighton-primo.hosted.exlibrisgroup.com/primo-explore/search?tab=default_tab&amp;search_scope=EVERYTHING&amp;vid=01CRU&amp;lang=en_US&amp;offset=0&amp;query=any,contains,991005227679702656","Catalog Record")</f>
        <v/>
      </c>
      <c r="AT11">
        <f>HYPERLINK("http://www.worldcat.org/oclc/8284037","WorldCat Record")</f>
        <v/>
      </c>
      <c r="AU11" t="inlineStr">
        <is>
          <t>5575213838:eng</t>
        </is>
      </c>
      <c r="AV11" t="inlineStr">
        <is>
          <t>8284037</t>
        </is>
      </c>
      <c r="AW11" t="inlineStr">
        <is>
          <t>991005227679702656</t>
        </is>
      </c>
      <c r="AX11" t="inlineStr">
        <is>
          <t>991005227679702656</t>
        </is>
      </c>
      <c r="AY11" t="inlineStr">
        <is>
          <t>2267874140002656</t>
        </is>
      </c>
      <c r="AZ11" t="inlineStr">
        <is>
          <t>BOOK</t>
        </is>
      </c>
      <c r="BB11" t="inlineStr">
        <is>
          <t>9780814612590</t>
        </is>
      </c>
      <c r="BC11" t="inlineStr">
        <is>
          <t>32285000835396</t>
        </is>
      </c>
      <c r="BD11" t="inlineStr">
        <is>
          <t>893248577</t>
        </is>
      </c>
    </row>
    <row r="12">
      <c r="A12" t="inlineStr">
        <is>
          <t>No</t>
        </is>
      </c>
      <c r="B12" t="inlineStr">
        <is>
          <t>BV111 .P65 1987</t>
        </is>
      </c>
      <c r="C12" t="inlineStr">
        <is>
          <t>0                      BV 0111000P  65          1987</t>
        </is>
      </c>
      <c r="D12" t="inlineStr">
        <is>
          <t>The day of light : the biblical &amp; liturgical meaning of Sunday / H.B. Porter.</t>
        </is>
      </c>
      <c r="F12" t="inlineStr">
        <is>
          <t>No</t>
        </is>
      </c>
      <c r="G12" t="inlineStr">
        <is>
          <t>1</t>
        </is>
      </c>
      <c r="H12" t="inlineStr">
        <is>
          <t>No</t>
        </is>
      </c>
      <c r="I12" t="inlineStr">
        <is>
          <t>No</t>
        </is>
      </c>
      <c r="J12" t="inlineStr">
        <is>
          <t>0</t>
        </is>
      </c>
      <c r="K12" t="inlineStr">
        <is>
          <t>Porter, Harry Boone, 1923-</t>
        </is>
      </c>
      <c r="L12" t="inlineStr">
        <is>
          <t>Washington, DC : The Pastoral Press, 1987.</t>
        </is>
      </c>
      <c r="M12" t="inlineStr">
        <is>
          <t>1987</t>
        </is>
      </c>
      <c r="O12" t="inlineStr">
        <is>
          <t>eng</t>
        </is>
      </c>
      <c r="P12" t="inlineStr">
        <is>
          <t>dcu</t>
        </is>
      </c>
      <c r="R12" t="inlineStr">
        <is>
          <t xml:space="preserve">BV </t>
        </is>
      </c>
      <c r="S12" t="n">
        <v>5</v>
      </c>
      <c r="T12" t="n">
        <v>5</v>
      </c>
      <c r="U12" t="inlineStr">
        <is>
          <t>1997-03-24</t>
        </is>
      </c>
      <c r="V12" t="inlineStr">
        <is>
          <t>1997-03-24</t>
        </is>
      </c>
      <c r="W12" t="inlineStr">
        <is>
          <t>1992-02-04</t>
        </is>
      </c>
      <c r="X12" t="inlineStr">
        <is>
          <t>1992-02-04</t>
        </is>
      </c>
      <c r="Y12" t="n">
        <v>72</v>
      </c>
      <c r="Z12" t="n">
        <v>54</v>
      </c>
      <c r="AA12" t="n">
        <v>172</v>
      </c>
      <c r="AB12" t="n">
        <v>1</v>
      </c>
      <c r="AC12" t="n">
        <v>1</v>
      </c>
      <c r="AD12" t="n">
        <v>9</v>
      </c>
      <c r="AE12" t="n">
        <v>18</v>
      </c>
      <c r="AF12" t="n">
        <v>3</v>
      </c>
      <c r="AG12" t="n">
        <v>6</v>
      </c>
      <c r="AH12" t="n">
        <v>3</v>
      </c>
      <c r="AI12" t="n">
        <v>4</v>
      </c>
      <c r="AJ12" t="n">
        <v>5</v>
      </c>
      <c r="AK12" t="n">
        <v>11</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HYPERLINK("https://creighton-primo.hosted.exlibrisgroup.com/primo-explore/search?tab=default_tab&amp;search_scope=EVERYTHING&amp;vid=01CRU&amp;lang=en_US&amp;offset=0&amp;query=any,contains,991001268049702656","Catalog Record")</f>
        <v/>
      </c>
      <c r="AT12">
        <f>HYPERLINK("http://www.worldcat.org/oclc/17830385","WorldCat Record")</f>
        <v/>
      </c>
      <c r="AU12" t="inlineStr">
        <is>
          <t>377198420:eng</t>
        </is>
      </c>
      <c r="AV12" t="inlineStr">
        <is>
          <t>17830385</t>
        </is>
      </c>
      <c r="AW12" t="inlineStr">
        <is>
          <t>991001268049702656</t>
        </is>
      </c>
      <c r="AX12" t="inlineStr">
        <is>
          <t>991001268049702656</t>
        </is>
      </c>
      <c r="AY12" t="inlineStr">
        <is>
          <t>2257209630002656</t>
        </is>
      </c>
      <c r="AZ12" t="inlineStr">
        <is>
          <t>BOOK</t>
        </is>
      </c>
      <c r="BB12" t="inlineStr">
        <is>
          <t>9780912405407</t>
        </is>
      </c>
      <c r="BC12" t="inlineStr">
        <is>
          <t>32285000868173</t>
        </is>
      </c>
      <c r="BD12" t="inlineStr">
        <is>
          <t>893522447</t>
        </is>
      </c>
    </row>
    <row r="13">
      <c r="A13" t="inlineStr">
        <is>
          <t>No</t>
        </is>
      </c>
      <c r="B13" t="inlineStr">
        <is>
          <t>BV111 .P75 1989</t>
        </is>
      </c>
      <c r="C13" t="inlineStr">
        <is>
          <t>0                      BV 0111000P  75          1989</t>
        </is>
      </c>
      <c r="D13" t="inlineStr">
        <is>
          <t>Holy time : moderate Puritanism and the Sabbath / John H. Primus.</t>
        </is>
      </c>
      <c r="F13" t="inlineStr">
        <is>
          <t>No</t>
        </is>
      </c>
      <c r="G13" t="inlineStr">
        <is>
          <t>1</t>
        </is>
      </c>
      <c r="H13" t="inlineStr">
        <is>
          <t>No</t>
        </is>
      </c>
      <c r="I13" t="inlineStr">
        <is>
          <t>No</t>
        </is>
      </c>
      <c r="J13" t="inlineStr">
        <is>
          <t>0</t>
        </is>
      </c>
      <c r="K13" t="inlineStr">
        <is>
          <t>Primus, John H.</t>
        </is>
      </c>
      <c r="L13" t="inlineStr">
        <is>
          <t>Macon, Ga. : Mercer University Press, c1989.</t>
        </is>
      </c>
      <c r="M13" t="inlineStr">
        <is>
          <t>1989</t>
        </is>
      </c>
      <c r="O13" t="inlineStr">
        <is>
          <t>eng</t>
        </is>
      </c>
      <c r="P13" t="inlineStr">
        <is>
          <t>gau</t>
        </is>
      </c>
      <c r="R13" t="inlineStr">
        <is>
          <t xml:space="preserve">BV </t>
        </is>
      </c>
      <c r="S13" t="n">
        <v>3</v>
      </c>
      <c r="T13" t="n">
        <v>3</v>
      </c>
      <c r="U13" t="inlineStr">
        <is>
          <t>1995-07-02</t>
        </is>
      </c>
      <c r="V13" t="inlineStr">
        <is>
          <t>1995-07-02</t>
        </is>
      </c>
      <c r="W13" t="inlineStr">
        <is>
          <t>1991-10-10</t>
        </is>
      </c>
      <c r="X13" t="inlineStr">
        <is>
          <t>1991-10-10</t>
        </is>
      </c>
      <c r="Y13" t="n">
        <v>257</v>
      </c>
      <c r="Z13" t="n">
        <v>220</v>
      </c>
      <c r="AA13" t="n">
        <v>222</v>
      </c>
      <c r="AB13" t="n">
        <v>2</v>
      </c>
      <c r="AC13" t="n">
        <v>2</v>
      </c>
      <c r="AD13" t="n">
        <v>16</v>
      </c>
      <c r="AE13" t="n">
        <v>16</v>
      </c>
      <c r="AF13" t="n">
        <v>6</v>
      </c>
      <c r="AG13" t="n">
        <v>6</v>
      </c>
      <c r="AH13" t="n">
        <v>5</v>
      </c>
      <c r="AI13" t="n">
        <v>5</v>
      </c>
      <c r="AJ13" t="n">
        <v>9</v>
      </c>
      <c r="AK13" t="n">
        <v>9</v>
      </c>
      <c r="AL13" t="n">
        <v>1</v>
      </c>
      <c r="AM13" t="n">
        <v>1</v>
      </c>
      <c r="AN13" t="n">
        <v>0</v>
      </c>
      <c r="AO13" t="n">
        <v>0</v>
      </c>
      <c r="AP13" t="inlineStr">
        <is>
          <t>No</t>
        </is>
      </c>
      <c r="AQ13" t="inlineStr">
        <is>
          <t>Yes</t>
        </is>
      </c>
      <c r="AR13">
        <f>HYPERLINK("http://catalog.hathitrust.org/Record/001838038","HathiTrust Record")</f>
        <v/>
      </c>
      <c r="AS13">
        <f>HYPERLINK("https://creighton-primo.hosted.exlibrisgroup.com/primo-explore/search?tab=default_tab&amp;search_scope=EVERYTHING&amp;vid=01CRU&amp;lang=en_US&amp;offset=0&amp;query=any,contains,991001513519702656","Catalog Record")</f>
        <v/>
      </c>
      <c r="AT13">
        <f>HYPERLINK("http://www.worldcat.org/oclc/19920625","WorldCat Record")</f>
        <v/>
      </c>
      <c r="AU13" t="inlineStr">
        <is>
          <t>324674704:eng</t>
        </is>
      </c>
      <c r="AV13" t="inlineStr">
        <is>
          <t>19920625</t>
        </is>
      </c>
      <c r="AW13" t="inlineStr">
        <is>
          <t>991001513519702656</t>
        </is>
      </c>
      <c r="AX13" t="inlineStr">
        <is>
          <t>991001513519702656</t>
        </is>
      </c>
      <c r="AY13" t="inlineStr">
        <is>
          <t>2269064570002656</t>
        </is>
      </c>
      <c r="AZ13" t="inlineStr">
        <is>
          <t>BOOK</t>
        </is>
      </c>
      <c r="BB13" t="inlineStr">
        <is>
          <t>9780865543508</t>
        </is>
      </c>
      <c r="BC13" t="inlineStr">
        <is>
          <t>32285000725878</t>
        </is>
      </c>
      <c r="BD13" t="inlineStr">
        <is>
          <t>893684374</t>
        </is>
      </c>
    </row>
    <row r="14">
      <c r="A14" t="inlineStr">
        <is>
          <t>No</t>
        </is>
      </c>
      <c r="B14" t="inlineStr">
        <is>
          <t>BV111 .S64</t>
        </is>
      </c>
      <c r="C14" t="inlineStr">
        <is>
          <t>0                      BV 0111000S  64</t>
        </is>
      </c>
      <c r="D14" t="inlineStr">
        <is>
          <t>Redeem the time : the Puritan Sabbath in early America / Winton U. Solberg.</t>
        </is>
      </c>
      <c r="F14" t="inlineStr">
        <is>
          <t>No</t>
        </is>
      </c>
      <c r="G14" t="inlineStr">
        <is>
          <t>1</t>
        </is>
      </c>
      <c r="H14" t="inlineStr">
        <is>
          <t>No</t>
        </is>
      </c>
      <c r="I14" t="inlineStr">
        <is>
          <t>No</t>
        </is>
      </c>
      <c r="J14" t="inlineStr">
        <is>
          <t>0</t>
        </is>
      </c>
      <c r="K14" t="inlineStr">
        <is>
          <t>Solberg, Winton U., 1922-</t>
        </is>
      </c>
      <c r="L14" t="inlineStr">
        <is>
          <t>Cambridge : Harvard University Press, 1977.</t>
        </is>
      </c>
      <c r="M14" t="inlineStr">
        <is>
          <t>1977</t>
        </is>
      </c>
      <c r="O14" t="inlineStr">
        <is>
          <t>eng</t>
        </is>
      </c>
      <c r="P14" t="inlineStr">
        <is>
          <t>mau</t>
        </is>
      </c>
      <c r="Q14" t="inlineStr">
        <is>
          <t>A Publication of the Center for the Study of the History of Liberty in America, Harvard University</t>
        </is>
      </c>
      <c r="R14" t="inlineStr">
        <is>
          <t xml:space="preserve">BV </t>
        </is>
      </c>
      <c r="S14" t="n">
        <v>3</v>
      </c>
      <c r="T14" t="n">
        <v>3</v>
      </c>
      <c r="U14" t="inlineStr">
        <is>
          <t>1992-12-17</t>
        </is>
      </c>
      <c r="V14" t="inlineStr">
        <is>
          <t>1992-12-17</t>
        </is>
      </c>
      <c r="W14" t="inlineStr">
        <is>
          <t>1991-11-11</t>
        </is>
      </c>
      <c r="X14" t="inlineStr">
        <is>
          <t>1991-11-11</t>
        </is>
      </c>
      <c r="Y14" t="n">
        <v>762</v>
      </c>
      <c r="Z14" t="n">
        <v>676</v>
      </c>
      <c r="AA14" t="n">
        <v>685</v>
      </c>
      <c r="AB14" t="n">
        <v>6</v>
      </c>
      <c r="AC14" t="n">
        <v>6</v>
      </c>
      <c r="AD14" t="n">
        <v>35</v>
      </c>
      <c r="AE14" t="n">
        <v>35</v>
      </c>
      <c r="AF14" t="n">
        <v>9</v>
      </c>
      <c r="AG14" t="n">
        <v>9</v>
      </c>
      <c r="AH14" t="n">
        <v>8</v>
      </c>
      <c r="AI14" t="n">
        <v>8</v>
      </c>
      <c r="AJ14" t="n">
        <v>20</v>
      </c>
      <c r="AK14" t="n">
        <v>20</v>
      </c>
      <c r="AL14" t="n">
        <v>5</v>
      </c>
      <c r="AM14" t="n">
        <v>5</v>
      </c>
      <c r="AN14" t="n">
        <v>0</v>
      </c>
      <c r="AO14" t="n">
        <v>0</v>
      </c>
      <c r="AP14" t="inlineStr">
        <is>
          <t>No</t>
        </is>
      </c>
      <c r="AQ14" t="inlineStr">
        <is>
          <t>Yes</t>
        </is>
      </c>
      <c r="AR14">
        <f>HYPERLINK("http://catalog.hathitrust.org/Record/000724019","HathiTrust Record")</f>
        <v/>
      </c>
      <c r="AS14">
        <f>HYPERLINK("https://creighton-primo.hosted.exlibrisgroup.com/primo-explore/search?tab=default_tab&amp;search_scope=EVERYTHING&amp;vid=01CRU&amp;lang=en_US&amp;offset=0&amp;query=any,contains,991004101749702656","Catalog Record")</f>
        <v/>
      </c>
      <c r="AT14">
        <f>HYPERLINK("http://www.worldcat.org/oclc/2372825","WorldCat Record")</f>
        <v/>
      </c>
      <c r="AU14" t="inlineStr">
        <is>
          <t>4749344:eng</t>
        </is>
      </c>
      <c r="AV14" t="inlineStr">
        <is>
          <t>2372825</t>
        </is>
      </c>
      <c r="AW14" t="inlineStr">
        <is>
          <t>991004101749702656</t>
        </is>
      </c>
      <c r="AX14" t="inlineStr">
        <is>
          <t>991004101749702656</t>
        </is>
      </c>
      <c r="AY14" t="inlineStr">
        <is>
          <t>2255306530002656</t>
        </is>
      </c>
      <c r="AZ14" t="inlineStr">
        <is>
          <t>BOOK</t>
        </is>
      </c>
      <c r="BB14" t="inlineStr">
        <is>
          <t>9780674751309</t>
        </is>
      </c>
      <c r="BC14" t="inlineStr">
        <is>
          <t>32285000835412</t>
        </is>
      </c>
      <c r="BD14" t="inlineStr">
        <is>
          <t>893519240</t>
        </is>
      </c>
    </row>
    <row r="15">
      <c r="A15" t="inlineStr">
        <is>
          <t>No</t>
        </is>
      </c>
      <c r="B15" t="inlineStr">
        <is>
          <t>BV1463 .F68</t>
        </is>
      </c>
      <c r="C15" t="inlineStr">
        <is>
          <t>0                      BV 1463000F  68</t>
        </is>
      </c>
      <c r="D15" t="inlineStr">
        <is>
          <t>Foundations of religious education / edited by Padraic O'Hare. --</t>
        </is>
      </c>
      <c r="F15" t="inlineStr">
        <is>
          <t>No</t>
        </is>
      </c>
      <c r="G15" t="inlineStr">
        <is>
          <t>1</t>
        </is>
      </c>
      <c r="H15" t="inlineStr">
        <is>
          <t>No</t>
        </is>
      </c>
      <c r="I15" t="inlineStr">
        <is>
          <t>No</t>
        </is>
      </c>
      <c r="J15" t="inlineStr">
        <is>
          <t>0</t>
        </is>
      </c>
      <c r="L15" t="inlineStr">
        <is>
          <t>New York : Paulist Press, c1978.</t>
        </is>
      </c>
      <c r="M15" t="inlineStr">
        <is>
          <t>1978</t>
        </is>
      </c>
      <c r="O15" t="inlineStr">
        <is>
          <t>eng</t>
        </is>
      </c>
      <c r="P15" t="inlineStr">
        <is>
          <t>nyu</t>
        </is>
      </c>
      <c r="R15" t="inlineStr">
        <is>
          <t xml:space="preserve">BV </t>
        </is>
      </c>
      <c r="S15" t="n">
        <v>2</v>
      </c>
      <c r="T15" t="n">
        <v>2</v>
      </c>
      <c r="U15" t="inlineStr">
        <is>
          <t>2002-07-17</t>
        </is>
      </c>
      <c r="V15" t="inlineStr">
        <is>
          <t>2002-07-17</t>
        </is>
      </c>
      <c r="W15" t="inlineStr">
        <is>
          <t>1992-01-27</t>
        </is>
      </c>
      <c r="X15" t="inlineStr">
        <is>
          <t>1992-01-27</t>
        </is>
      </c>
      <c r="Y15" t="n">
        <v>203</v>
      </c>
      <c r="Z15" t="n">
        <v>167</v>
      </c>
      <c r="AA15" t="n">
        <v>173</v>
      </c>
      <c r="AB15" t="n">
        <v>1</v>
      </c>
      <c r="AC15" t="n">
        <v>1</v>
      </c>
      <c r="AD15" t="n">
        <v>16</v>
      </c>
      <c r="AE15" t="n">
        <v>16</v>
      </c>
      <c r="AF15" t="n">
        <v>4</v>
      </c>
      <c r="AG15" t="n">
        <v>4</v>
      </c>
      <c r="AH15" t="n">
        <v>4</v>
      </c>
      <c r="AI15" t="n">
        <v>4</v>
      </c>
      <c r="AJ15" t="n">
        <v>12</v>
      </c>
      <c r="AK15" t="n">
        <v>12</v>
      </c>
      <c r="AL15" t="n">
        <v>0</v>
      </c>
      <c r="AM15" t="n">
        <v>0</v>
      </c>
      <c r="AN15" t="n">
        <v>0</v>
      </c>
      <c r="AO15" t="n">
        <v>0</v>
      </c>
      <c r="AP15" t="inlineStr">
        <is>
          <t>No</t>
        </is>
      </c>
      <c r="AQ15" t="inlineStr">
        <is>
          <t>No</t>
        </is>
      </c>
      <c r="AS15">
        <f>HYPERLINK("https://creighton-primo.hosted.exlibrisgroup.com/primo-explore/search?tab=default_tab&amp;search_scope=EVERYTHING&amp;vid=01CRU&amp;lang=en_US&amp;offset=0&amp;query=any,contains,991004564059702656","Catalog Record")</f>
        <v/>
      </c>
      <c r="AT15">
        <f>HYPERLINK("http://www.worldcat.org/oclc/4004110","WorldCat Record")</f>
        <v/>
      </c>
      <c r="AU15" t="inlineStr">
        <is>
          <t>13618247:eng</t>
        </is>
      </c>
      <c r="AV15" t="inlineStr">
        <is>
          <t>4004110</t>
        </is>
      </c>
      <c r="AW15" t="inlineStr">
        <is>
          <t>991004564059702656</t>
        </is>
      </c>
      <c r="AX15" t="inlineStr">
        <is>
          <t>991004564059702656</t>
        </is>
      </c>
      <c r="AY15" t="inlineStr">
        <is>
          <t>2265202600002656</t>
        </is>
      </c>
      <c r="AZ15" t="inlineStr">
        <is>
          <t>BOOK</t>
        </is>
      </c>
      <c r="BB15" t="inlineStr">
        <is>
          <t>9780809121083</t>
        </is>
      </c>
      <c r="BC15" t="inlineStr">
        <is>
          <t>32285000925858</t>
        </is>
      </c>
      <c r="BD15" t="inlineStr">
        <is>
          <t>893869861</t>
        </is>
      </c>
    </row>
    <row r="16">
      <c r="A16" t="inlineStr">
        <is>
          <t>No</t>
        </is>
      </c>
      <c r="B16" t="inlineStr">
        <is>
          <t>BV1464 .A76 1994</t>
        </is>
      </c>
      <c r="C16" t="inlineStr">
        <is>
          <t>0                      BV 1464000A  76          1994</t>
        </is>
      </c>
      <c r="D16" t="inlineStr">
        <is>
          <t>The philosophy of Christian religious education / Jeff Astley.</t>
        </is>
      </c>
      <c r="F16" t="inlineStr">
        <is>
          <t>No</t>
        </is>
      </c>
      <c r="G16" t="inlineStr">
        <is>
          <t>1</t>
        </is>
      </c>
      <c r="H16" t="inlineStr">
        <is>
          <t>No</t>
        </is>
      </c>
      <c r="I16" t="inlineStr">
        <is>
          <t>No</t>
        </is>
      </c>
      <c r="J16" t="inlineStr">
        <is>
          <t>0</t>
        </is>
      </c>
      <c r="K16" t="inlineStr">
        <is>
          <t>Astley, Jeff.</t>
        </is>
      </c>
      <c r="L16" t="inlineStr">
        <is>
          <t>Birmingham, Ala. : Religious Education Press, 1994.</t>
        </is>
      </c>
      <c r="M16" t="inlineStr">
        <is>
          <t>1994</t>
        </is>
      </c>
      <c r="O16" t="inlineStr">
        <is>
          <t>eng</t>
        </is>
      </c>
      <c r="P16" t="inlineStr">
        <is>
          <t>alu</t>
        </is>
      </c>
      <c r="R16" t="inlineStr">
        <is>
          <t xml:space="preserve">BV </t>
        </is>
      </c>
      <c r="S16" t="n">
        <v>2</v>
      </c>
      <c r="T16" t="n">
        <v>2</v>
      </c>
      <c r="U16" t="inlineStr">
        <is>
          <t>1998-12-07</t>
        </is>
      </c>
      <c r="V16" t="inlineStr">
        <is>
          <t>1998-12-07</t>
        </is>
      </c>
      <c r="W16" t="inlineStr">
        <is>
          <t>1994-04-06</t>
        </is>
      </c>
      <c r="X16" t="inlineStr">
        <is>
          <t>1994-04-06</t>
        </is>
      </c>
      <c r="Y16" t="n">
        <v>328</v>
      </c>
      <c r="Z16" t="n">
        <v>234</v>
      </c>
      <c r="AA16" t="n">
        <v>234</v>
      </c>
      <c r="AB16" t="n">
        <v>3</v>
      </c>
      <c r="AC16" t="n">
        <v>3</v>
      </c>
      <c r="AD16" t="n">
        <v>24</v>
      </c>
      <c r="AE16" t="n">
        <v>24</v>
      </c>
      <c r="AF16" t="n">
        <v>10</v>
      </c>
      <c r="AG16" t="n">
        <v>10</v>
      </c>
      <c r="AH16" t="n">
        <v>4</v>
      </c>
      <c r="AI16" t="n">
        <v>4</v>
      </c>
      <c r="AJ16" t="n">
        <v>14</v>
      </c>
      <c r="AK16" t="n">
        <v>14</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HYPERLINK("https://creighton-primo.hosted.exlibrisgroup.com/primo-explore/search?tab=default_tab&amp;search_scope=EVERYTHING&amp;vid=01CRU&amp;lang=en_US&amp;offset=0&amp;query=any,contains,991002267959702656","Catalog Record")</f>
        <v/>
      </c>
      <c r="AT16">
        <f>HYPERLINK("http://www.worldcat.org/oclc/29428552","WorldCat Record")</f>
        <v/>
      </c>
      <c r="AU16" t="inlineStr">
        <is>
          <t>20993138:eng</t>
        </is>
      </c>
      <c r="AV16" t="inlineStr">
        <is>
          <t>29428552</t>
        </is>
      </c>
      <c r="AW16" t="inlineStr">
        <is>
          <t>991002267959702656</t>
        </is>
      </c>
      <c r="AX16" t="inlineStr">
        <is>
          <t>991002267959702656</t>
        </is>
      </c>
      <c r="AY16" t="inlineStr">
        <is>
          <t>2269817680002656</t>
        </is>
      </c>
      <c r="AZ16" t="inlineStr">
        <is>
          <t>BOOK</t>
        </is>
      </c>
      <c r="BB16" t="inlineStr">
        <is>
          <t>9780891350934</t>
        </is>
      </c>
      <c r="BC16" t="inlineStr">
        <is>
          <t>32285001863645</t>
        </is>
      </c>
      <c r="BD16" t="inlineStr">
        <is>
          <t>893517086</t>
        </is>
      </c>
    </row>
    <row r="17">
      <c r="A17" t="inlineStr">
        <is>
          <t>No</t>
        </is>
      </c>
      <c r="B17" t="inlineStr">
        <is>
          <t>BV1464 .B374</t>
        </is>
      </c>
      <c r="C17" t="inlineStr">
        <is>
          <t>0                      BV 1464000B  374</t>
        </is>
      </c>
      <c r="D17" t="inlineStr">
        <is>
          <t>Religious education, catechesis, and freedom / Kenneth R. Barker.</t>
        </is>
      </c>
      <c r="F17" t="inlineStr">
        <is>
          <t>No</t>
        </is>
      </c>
      <c r="G17" t="inlineStr">
        <is>
          <t>1</t>
        </is>
      </c>
      <c r="H17" t="inlineStr">
        <is>
          <t>No</t>
        </is>
      </c>
      <c r="I17" t="inlineStr">
        <is>
          <t>No</t>
        </is>
      </c>
      <c r="J17" t="inlineStr">
        <is>
          <t>0</t>
        </is>
      </c>
      <c r="K17" t="inlineStr">
        <is>
          <t>Barker, Kenneth R. (Kenneth Robert), 1948-</t>
        </is>
      </c>
      <c r="L17" t="inlineStr">
        <is>
          <t>Birmingham, Ala. : Religious Education Press, 1981.</t>
        </is>
      </c>
      <c r="M17" t="inlineStr">
        <is>
          <t>1981</t>
        </is>
      </c>
      <c r="O17" t="inlineStr">
        <is>
          <t>eng</t>
        </is>
      </c>
      <c r="P17" t="inlineStr">
        <is>
          <t>alu</t>
        </is>
      </c>
      <c r="R17" t="inlineStr">
        <is>
          <t xml:space="preserve">BV </t>
        </is>
      </c>
      <c r="S17" t="n">
        <v>2</v>
      </c>
      <c r="T17" t="n">
        <v>2</v>
      </c>
      <c r="U17" t="inlineStr">
        <is>
          <t>1995-08-09</t>
        </is>
      </c>
      <c r="V17" t="inlineStr">
        <is>
          <t>1995-08-09</t>
        </is>
      </c>
      <c r="W17" t="inlineStr">
        <is>
          <t>1992-01-27</t>
        </is>
      </c>
      <c r="X17" t="inlineStr">
        <is>
          <t>1992-01-27</t>
        </is>
      </c>
      <c r="Y17" t="n">
        <v>255</v>
      </c>
      <c r="Z17" t="n">
        <v>205</v>
      </c>
      <c r="AA17" t="n">
        <v>206</v>
      </c>
      <c r="AB17" t="n">
        <v>3</v>
      </c>
      <c r="AC17" t="n">
        <v>3</v>
      </c>
      <c r="AD17" t="n">
        <v>19</v>
      </c>
      <c r="AE17" t="n">
        <v>19</v>
      </c>
      <c r="AF17" t="n">
        <v>8</v>
      </c>
      <c r="AG17" t="n">
        <v>8</v>
      </c>
      <c r="AH17" t="n">
        <v>3</v>
      </c>
      <c r="AI17" t="n">
        <v>3</v>
      </c>
      <c r="AJ17" t="n">
        <v>10</v>
      </c>
      <c r="AK17" t="n">
        <v>10</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HYPERLINK("https://creighton-primo.hosted.exlibrisgroup.com/primo-explore/search?tab=default_tab&amp;search_scope=EVERYTHING&amp;vid=01CRU&amp;lang=en_US&amp;offset=0&amp;query=any,contains,991005159729702656","Catalog Record")</f>
        <v/>
      </c>
      <c r="AT17">
        <f>HYPERLINK("http://www.worldcat.org/oclc/7773834","WorldCat Record")</f>
        <v/>
      </c>
      <c r="AU17" t="inlineStr">
        <is>
          <t>548253:eng</t>
        </is>
      </c>
      <c r="AV17" t="inlineStr">
        <is>
          <t>7773834</t>
        </is>
      </c>
      <c r="AW17" t="inlineStr">
        <is>
          <t>991005159729702656</t>
        </is>
      </c>
      <c r="AX17" t="inlineStr">
        <is>
          <t>991005159729702656</t>
        </is>
      </c>
      <c r="AY17" t="inlineStr">
        <is>
          <t>2269361560002656</t>
        </is>
      </c>
      <c r="AZ17" t="inlineStr">
        <is>
          <t>BOOK</t>
        </is>
      </c>
      <c r="BB17" t="inlineStr">
        <is>
          <t>9780891350286</t>
        </is>
      </c>
      <c r="BC17" t="inlineStr">
        <is>
          <t>32285000925866</t>
        </is>
      </c>
      <c r="BD17" t="inlineStr">
        <is>
          <t>893326262</t>
        </is>
      </c>
    </row>
    <row r="18">
      <c r="A18" t="inlineStr">
        <is>
          <t>No</t>
        </is>
      </c>
      <c r="B18" t="inlineStr">
        <is>
          <t>BV1464 .K57</t>
        </is>
      </c>
      <c r="C18" t="inlineStr">
        <is>
          <t>0                      BV 1464000K  57</t>
        </is>
      </c>
      <c r="D18" t="inlineStr">
        <is>
          <t>Above or within? : The supernatural in religious education / Ian Knox.</t>
        </is>
      </c>
      <c r="F18" t="inlineStr">
        <is>
          <t>No</t>
        </is>
      </c>
      <c r="G18" t="inlineStr">
        <is>
          <t>1</t>
        </is>
      </c>
      <c r="H18" t="inlineStr">
        <is>
          <t>No</t>
        </is>
      </c>
      <c r="I18" t="inlineStr">
        <is>
          <t>No</t>
        </is>
      </c>
      <c r="J18" t="inlineStr">
        <is>
          <t>0</t>
        </is>
      </c>
      <c r="K18" t="inlineStr">
        <is>
          <t>Knox, Ian P.</t>
        </is>
      </c>
      <c r="L18" t="inlineStr">
        <is>
          <t>Mishawaka, Ind. : Religious Education Press, c1976.</t>
        </is>
      </c>
      <c r="M18" t="inlineStr">
        <is>
          <t>1976</t>
        </is>
      </c>
      <c r="O18" t="inlineStr">
        <is>
          <t>eng</t>
        </is>
      </c>
      <c r="P18" t="inlineStr">
        <is>
          <t>inu</t>
        </is>
      </c>
      <c r="R18" t="inlineStr">
        <is>
          <t xml:space="preserve">BV </t>
        </is>
      </c>
      <c r="S18" t="n">
        <v>3</v>
      </c>
      <c r="T18" t="n">
        <v>3</v>
      </c>
      <c r="U18" t="inlineStr">
        <is>
          <t>1996-06-09</t>
        </is>
      </c>
      <c r="V18" t="inlineStr">
        <is>
          <t>1996-06-09</t>
        </is>
      </c>
      <c r="W18" t="inlineStr">
        <is>
          <t>1992-01-27</t>
        </is>
      </c>
      <c r="X18" t="inlineStr">
        <is>
          <t>1992-01-27</t>
        </is>
      </c>
      <c r="Y18" t="n">
        <v>299</v>
      </c>
      <c r="Z18" t="n">
        <v>252</v>
      </c>
      <c r="AA18" t="n">
        <v>261</v>
      </c>
      <c r="AB18" t="n">
        <v>3</v>
      </c>
      <c r="AC18" t="n">
        <v>3</v>
      </c>
      <c r="AD18" t="n">
        <v>20</v>
      </c>
      <c r="AE18" t="n">
        <v>20</v>
      </c>
      <c r="AF18" t="n">
        <v>10</v>
      </c>
      <c r="AG18" t="n">
        <v>10</v>
      </c>
      <c r="AH18" t="n">
        <v>4</v>
      </c>
      <c r="AI18" t="n">
        <v>4</v>
      </c>
      <c r="AJ18" t="n">
        <v>12</v>
      </c>
      <c r="AK18" t="n">
        <v>12</v>
      </c>
      <c r="AL18" t="n">
        <v>1</v>
      </c>
      <c r="AM18" t="n">
        <v>1</v>
      </c>
      <c r="AN18" t="n">
        <v>0</v>
      </c>
      <c r="AO18" t="n">
        <v>0</v>
      </c>
      <c r="AP18" t="inlineStr">
        <is>
          <t>No</t>
        </is>
      </c>
      <c r="AQ18" t="inlineStr">
        <is>
          <t>No</t>
        </is>
      </c>
      <c r="AS18">
        <f>HYPERLINK("https://creighton-primo.hosted.exlibrisgroup.com/primo-explore/search?tab=default_tab&amp;search_scope=EVERYTHING&amp;vid=01CRU&amp;lang=en_US&amp;offset=0&amp;query=any,contains,991004444069702656","Catalog Record")</f>
        <v/>
      </c>
      <c r="AT18">
        <f>HYPERLINK("http://www.worldcat.org/oclc/3479043","WorldCat Record")</f>
        <v/>
      </c>
      <c r="AU18" t="inlineStr">
        <is>
          <t>180100556:eng</t>
        </is>
      </c>
      <c r="AV18" t="inlineStr">
        <is>
          <t>3479043</t>
        </is>
      </c>
      <c r="AW18" t="inlineStr">
        <is>
          <t>991004444069702656</t>
        </is>
      </c>
      <c r="AX18" t="inlineStr">
        <is>
          <t>991004444069702656</t>
        </is>
      </c>
      <c r="AY18" t="inlineStr">
        <is>
          <t>2257539640002656</t>
        </is>
      </c>
      <c r="AZ18" t="inlineStr">
        <is>
          <t>BOOK</t>
        </is>
      </c>
      <c r="BB18" t="inlineStr">
        <is>
          <t>9780891350101</t>
        </is>
      </c>
      <c r="BC18" t="inlineStr">
        <is>
          <t>32285000925924</t>
        </is>
      </c>
      <c r="BD18" t="inlineStr">
        <is>
          <t>893259738</t>
        </is>
      </c>
    </row>
    <row r="19">
      <c r="A19" t="inlineStr">
        <is>
          <t>No</t>
        </is>
      </c>
      <c r="B19" t="inlineStr">
        <is>
          <t>BV1464 .O26 1998</t>
        </is>
      </c>
      <c r="C19" t="inlineStr">
        <is>
          <t>0                      BV 1464000O  26          1998</t>
        </is>
      </c>
      <c r="D19" t="inlineStr">
        <is>
          <t>Making disciples : a handbook of Christian moral formation / Timothy E. O'Connell.</t>
        </is>
      </c>
      <c r="F19" t="inlineStr">
        <is>
          <t>No</t>
        </is>
      </c>
      <c r="G19" t="inlineStr">
        <is>
          <t>1</t>
        </is>
      </c>
      <c r="H19" t="inlineStr">
        <is>
          <t>No</t>
        </is>
      </c>
      <c r="I19" t="inlineStr">
        <is>
          <t>No</t>
        </is>
      </c>
      <c r="J19" t="inlineStr">
        <is>
          <t>0</t>
        </is>
      </c>
      <c r="K19" t="inlineStr">
        <is>
          <t>O'Connell, Timothy E.</t>
        </is>
      </c>
      <c r="L19" t="inlineStr">
        <is>
          <t>New York : Crossroad Pub., c1998.</t>
        </is>
      </c>
      <c r="M19" t="inlineStr">
        <is>
          <t>1998</t>
        </is>
      </c>
      <c r="O19" t="inlineStr">
        <is>
          <t>eng</t>
        </is>
      </c>
      <c r="P19" t="inlineStr">
        <is>
          <t>nyu</t>
        </is>
      </c>
      <c r="R19" t="inlineStr">
        <is>
          <t xml:space="preserve">BV </t>
        </is>
      </c>
      <c r="S19" t="n">
        <v>9</v>
      </c>
      <c r="T19" t="n">
        <v>9</v>
      </c>
      <c r="U19" t="inlineStr">
        <is>
          <t>2005-03-03</t>
        </is>
      </c>
      <c r="V19" t="inlineStr">
        <is>
          <t>2005-03-03</t>
        </is>
      </c>
      <c r="W19" t="inlineStr">
        <is>
          <t>1998-08-06</t>
        </is>
      </c>
      <c r="X19" t="inlineStr">
        <is>
          <t>1998-08-06</t>
        </is>
      </c>
      <c r="Y19" t="n">
        <v>248</v>
      </c>
      <c r="Z19" t="n">
        <v>200</v>
      </c>
      <c r="AA19" t="n">
        <v>204</v>
      </c>
      <c r="AB19" t="n">
        <v>2</v>
      </c>
      <c r="AC19" t="n">
        <v>2</v>
      </c>
      <c r="AD19" t="n">
        <v>24</v>
      </c>
      <c r="AE19" t="n">
        <v>24</v>
      </c>
      <c r="AF19" t="n">
        <v>8</v>
      </c>
      <c r="AG19" t="n">
        <v>8</v>
      </c>
      <c r="AH19" t="n">
        <v>7</v>
      </c>
      <c r="AI19" t="n">
        <v>7</v>
      </c>
      <c r="AJ19" t="n">
        <v>17</v>
      </c>
      <c r="AK19" t="n">
        <v>17</v>
      </c>
      <c r="AL19" t="n">
        <v>1</v>
      </c>
      <c r="AM19" t="n">
        <v>1</v>
      </c>
      <c r="AN19" t="n">
        <v>0</v>
      </c>
      <c r="AO19" t="n">
        <v>0</v>
      </c>
      <c r="AP19" t="inlineStr">
        <is>
          <t>No</t>
        </is>
      </c>
      <c r="AQ19" t="inlineStr">
        <is>
          <t>No</t>
        </is>
      </c>
      <c r="AS19">
        <f>HYPERLINK("https://creighton-primo.hosted.exlibrisgroup.com/primo-explore/search?tab=default_tab&amp;search_scope=EVERYTHING&amp;vid=01CRU&amp;lang=en_US&amp;offset=0&amp;query=any,contains,991002854299702656","Catalog Record")</f>
        <v/>
      </c>
      <c r="AT19">
        <f>HYPERLINK("http://www.worldcat.org/oclc/37608238","WorldCat Record")</f>
        <v/>
      </c>
      <c r="AU19" t="inlineStr">
        <is>
          <t>1364091041:eng</t>
        </is>
      </c>
      <c r="AV19" t="inlineStr">
        <is>
          <t>37608238</t>
        </is>
      </c>
      <c r="AW19" t="inlineStr">
        <is>
          <t>991002854299702656</t>
        </is>
      </c>
      <c r="AX19" t="inlineStr">
        <is>
          <t>991002854299702656</t>
        </is>
      </c>
      <c r="AY19" t="inlineStr">
        <is>
          <t>2264309950002656</t>
        </is>
      </c>
      <c r="AZ19" t="inlineStr">
        <is>
          <t>BOOK</t>
        </is>
      </c>
      <c r="BB19" t="inlineStr">
        <is>
          <t>9780824517274</t>
        </is>
      </c>
      <c r="BC19" t="inlineStr">
        <is>
          <t>32285003449815</t>
        </is>
      </c>
      <c r="BD19" t="inlineStr">
        <is>
          <t>893341943</t>
        </is>
      </c>
    </row>
    <row r="20">
      <c r="A20" t="inlineStr">
        <is>
          <t>No</t>
        </is>
      </c>
      <c r="B20" t="inlineStr">
        <is>
          <t>BV1464 .S33 1987</t>
        </is>
      </c>
      <c r="C20" t="inlineStr">
        <is>
          <t>0                      BV 1464000S  33          1987</t>
        </is>
      </c>
      <c r="D20" t="inlineStr">
        <is>
          <t>Using media in religious education / Ronald A. Sarno.</t>
        </is>
      </c>
      <c r="F20" t="inlineStr">
        <is>
          <t>No</t>
        </is>
      </c>
      <c r="G20" t="inlineStr">
        <is>
          <t>1</t>
        </is>
      </c>
      <c r="H20" t="inlineStr">
        <is>
          <t>No</t>
        </is>
      </c>
      <c r="I20" t="inlineStr">
        <is>
          <t>No</t>
        </is>
      </c>
      <c r="J20" t="inlineStr">
        <is>
          <t>0</t>
        </is>
      </c>
      <c r="K20" t="inlineStr">
        <is>
          <t>Sarno, Ronald A.</t>
        </is>
      </c>
      <c r="L20" t="inlineStr">
        <is>
          <t>Birmingham, Ala. : Religious Education Press, c1987.</t>
        </is>
      </c>
      <c r="M20" t="inlineStr">
        <is>
          <t>1987</t>
        </is>
      </c>
      <c r="O20" t="inlineStr">
        <is>
          <t>eng</t>
        </is>
      </c>
      <c r="P20" t="inlineStr">
        <is>
          <t>alu</t>
        </is>
      </c>
      <c r="R20" t="inlineStr">
        <is>
          <t xml:space="preserve">BV </t>
        </is>
      </c>
      <c r="S20" t="n">
        <v>1</v>
      </c>
      <c r="T20" t="n">
        <v>1</v>
      </c>
      <c r="U20" t="inlineStr">
        <is>
          <t>1992-01-29</t>
        </is>
      </c>
      <c r="V20" t="inlineStr">
        <is>
          <t>1992-01-29</t>
        </is>
      </c>
      <c r="W20" t="inlineStr">
        <is>
          <t>1992-01-27</t>
        </is>
      </c>
      <c r="X20" t="inlineStr">
        <is>
          <t>1992-01-27</t>
        </is>
      </c>
      <c r="Y20" t="n">
        <v>284</v>
      </c>
      <c r="Z20" t="n">
        <v>238</v>
      </c>
      <c r="AA20" t="n">
        <v>239</v>
      </c>
      <c r="AB20" t="n">
        <v>3</v>
      </c>
      <c r="AC20" t="n">
        <v>3</v>
      </c>
      <c r="AD20" t="n">
        <v>20</v>
      </c>
      <c r="AE20" t="n">
        <v>20</v>
      </c>
      <c r="AF20" t="n">
        <v>8</v>
      </c>
      <c r="AG20" t="n">
        <v>8</v>
      </c>
      <c r="AH20" t="n">
        <v>2</v>
      </c>
      <c r="AI20" t="n">
        <v>2</v>
      </c>
      <c r="AJ20" t="n">
        <v>12</v>
      </c>
      <c r="AK20" t="n">
        <v>12</v>
      </c>
      <c r="AL20" t="n">
        <v>2</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HYPERLINK("https://creighton-primo.hosted.exlibrisgroup.com/primo-explore/search?tab=default_tab&amp;search_scope=EVERYTHING&amp;vid=01CRU&amp;lang=en_US&amp;offset=0&amp;query=any,contains,991000985829702656","Catalog Record")</f>
        <v/>
      </c>
      <c r="AT20">
        <f>HYPERLINK("http://www.worldcat.org/oclc/15081847","WorldCat Record")</f>
        <v/>
      </c>
      <c r="AU20" t="inlineStr">
        <is>
          <t>9003784:eng</t>
        </is>
      </c>
      <c r="AV20" t="inlineStr">
        <is>
          <t>15081847</t>
        </is>
      </c>
      <c r="AW20" t="inlineStr">
        <is>
          <t>991000985829702656</t>
        </is>
      </c>
      <c r="AX20" t="inlineStr">
        <is>
          <t>991000985829702656</t>
        </is>
      </c>
      <c r="AY20" t="inlineStr">
        <is>
          <t>2259037470002656</t>
        </is>
      </c>
      <c r="AZ20" t="inlineStr">
        <is>
          <t>BOOK</t>
        </is>
      </c>
      <c r="BB20" t="inlineStr">
        <is>
          <t>9780891350583</t>
        </is>
      </c>
      <c r="BC20" t="inlineStr">
        <is>
          <t>32285000925999</t>
        </is>
      </c>
      <c r="BD20" t="inlineStr">
        <is>
          <t>893255914</t>
        </is>
      </c>
    </row>
    <row r="21">
      <c r="A21" t="inlineStr">
        <is>
          <t>No</t>
        </is>
      </c>
      <c r="B21" t="inlineStr">
        <is>
          <t>BV1464 .S48 1982</t>
        </is>
      </c>
      <c r="C21" t="inlineStr">
        <is>
          <t>0                      BV 1464000S  48          1982</t>
        </is>
      </c>
      <c r="D21" t="inlineStr">
        <is>
          <t>Contemporary approaches to Christian education / Jack L. Seymour and Donald E. Miller, with Sara P. Little ... [et al.].</t>
        </is>
      </c>
      <c r="F21" t="inlineStr">
        <is>
          <t>No</t>
        </is>
      </c>
      <c r="G21" t="inlineStr">
        <is>
          <t>1</t>
        </is>
      </c>
      <c r="H21" t="inlineStr">
        <is>
          <t>No</t>
        </is>
      </c>
      <c r="I21" t="inlineStr">
        <is>
          <t>No</t>
        </is>
      </c>
      <c r="J21" t="inlineStr">
        <is>
          <t>0</t>
        </is>
      </c>
      <c r="K21" t="inlineStr">
        <is>
          <t>Seymour, Jack L. (Jack Lee), 1948-</t>
        </is>
      </c>
      <c r="L21" t="inlineStr">
        <is>
          <t>Nashville : Abingdon, c1982, 1987 printing.</t>
        </is>
      </c>
      <c r="M21" t="inlineStr">
        <is>
          <t>1982</t>
        </is>
      </c>
      <c r="O21" t="inlineStr">
        <is>
          <t>eng</t>
        </is>
      </c>
      <c r="P21" t="inlineStr">
        <is>
          <t>tnu</t>
        </is>
      </c>
      <c r="R21" t="inlineStr">
        <is>
          <t xml:space="preserve">BV </t>
        </is>
      </c>
      <c r="S21" t="n">
        <v>3</v>
      </c>
      <c r="T21" t="n">
        <v>3</v>
      </c>
      <c r="U21" t="inlineStr">
        <is>
          <t>2003-03-02</t>
        </is>
      </c>
      <c r="V21" t="inlineStr">
        <is>
          <t>2003-03-02</t>
        </is>
      </c>
      <c r="W21" t="inlineStr">
        <is>
          <t>1990-03-28</t>
        </is>
      </c>
      <c r="X21" t="inlineStr">
        <is>
          <t>1990-03-28</t>
        </is>
      </c>
      <c r="Y21" t="n">
        <v>390</v>
      </c>
      <c r="Z21" t="n">
        <v>314</v>
      </c>
      <c r="AA21" t="n">
        <v>320</v>
      </c>
      <c r="AB21" t="n">
        <v>5</v>
      </c>
      <c r="AC21" t="n">
        <v>5</v>
      </c>
      <c r="AD21" t="n">
        <v>20</v>
      </c>
      <c r="AE21" t="n">
        <v>20</v>
      </c>
      <c r="AF21" t="n">
        <v>7</v>
      </c>
      <c r="AG21" t="n">
        <v>7</v>
      </c>
      <c r="AH21" t="n">
        <v>4</v>
      </c>
      <c r="AI21" t="n">
        <v>4</v>
      </c>
      <c r="AJ21" t="n">
        <v>9</v>
      </c>
      <c r="AK21" t="n">
        <v>9</v>
      </c>
      <c r="AL21" t="n">
        <v>3</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HYPERLINK("https://creighton-primo.hosted.exlibrisgroup.com/primo-explore/search?tab=default_tab&amp;search_scope=EVERYTHING&amp;vid=01CRU&amp;lang=en_US&amp;offset=0&amp;query=any,contains,991005164259702656","Catalog Record")</f>
        <v/>
      </c>
      <c r="AT21">
        <f>HYPERLINK("http://www.worldcat.org/oclc/7813463","WorldCat Record")</f>
        <v/>
      </c>
      <c r="AU21" t="inlineStr">
        <is>
          <t>434296:eng</t>
        </is>
      </c>
      <c r="AV21" t="inlineStr">
        <is>
          <t>7813463</t>
        </is>
      </c>
      <c r="AW21" t="inlineStr">
        <is>
          <t>991005164259702656</t>
        </is>
      </c>
      <c r="AX21" t="inlineStr">
        <is>
          <t>991005164259702656</t>
        </is>
      </c>
      <c r="AY21" t="inlineStr">
        <is>
          <t>2255812170002656</t>
        </is>
      </c>
      <c r="AZ21" t="inlineStr">
        <is>
          <t>BOOK</t>
        </is>
      </c>
      <c r="BB21" t="inlineStr">
        <is>
          <t>9780687094936</t>
        </is>
      </c>
      <c r="BC21" t="inlineStr">
        <is>
          <t>32285000105170</t>
        </is>
      </c>
      <c r="BD21" t="inlineStr">
        <is>
          <t>893446618</t>
        </is>
      </c>
    </row>
    <row r="22">
      <c r="A22" t="inlineStr">
        <is>
          <t>No</t>
        </is>
      </c>
      <c r="B22" t="inlineStr">
        <is>
          <t>BV1464 .S63 1983</t>
        </is>
      </c>
      <c r="C22" t="inlineStr">
        <is>
          <t>0                      BV 1464000S  63          1983</t>
        </is>
      </c>
      <c r="D22" t="inlineStr">
        <is>
          <t>The salvation and nurture of the child of God : the story of Emma / G. Temp Sparkman.</t>
        </is>
      </c>
      <c r="F22" t="inlineStr">
        <is>
          <t>No</t>
        </is>
      </c>
      <c r="G22" t="inlineStr">
        <is>
          <t>1</t>
        </is>
      </c>
      <c r="H22" t="inlineStr">
        <is>
          <t>No</t>
        </is>
      </c>
      <c r="I22" t="inlineStr">
        <is>
          <t>No</t>
        </is>
      </c>
      <c r="J22" t="inlineStr">
        <is>
          <t>0</t>
        </is>
      </c>
      <c r="K22" t="inlineStr">
        <is>
          <t>Sparkman, G. Temp.</t>
        </is>
      </c>
      <c r="L22" t="inlineStr">
        <is>
          <t>Valley Forge, PA : Judson Press, c1983.</t>
        </is>
      </c>
      <c r="M22" t="inlineStr">
        <is>
          <t>1983</t>
        </is>
      </c>
      <c r="O22" t="inlineStr">
        <is>
          <t>eng</t>
        </is>
      </c>
      <c r="P22" t="inlineStr">
        <is>
          <t>pau</t>
        </is>
      </c>
      <c r="R22" t="inlineStr">
        <is>
          <t xml:space="preserve">BV </t>
        </is>
      </c>
      <c r="S22" t="n">
        <v>6</v>
      </c>
      <c r="T22" t="n">
        <v>6</v>
      </c>
      <c r="U22" t="inlineStr">
        <is>
          <t>1996-11-08</t>
        </is>
      </c>
      <c r="V22" t="inlineStr">
        <is>
          <t>1996-11-08</t>
        </is>
      </c>
      <c r="W22" t="inlineStr">
        <is>
          <t>1992-01-27</t>
        </is>
      </c>
      <c r="X22" t="inlineStr">
        <is>
          <t>1992-01-27</t>
        </is>
      </c>
      <c r="Y22" t="n">
        <v>126</v>
      </c>
      <c r="Z22" t="n">
        <v>112</v>
      </c>
      <c r="AA22" t="n">
        <v>112</v>
      </c>
      <c r="AB22" t="n">
        <v>2</v>
      </c>
      <c r="AC22" t="n">
        <v>2</v>
      </c>
      <c r="AD22" t="n">
        <v>6</v>
      </c>
      <c r="AE22" t="n">
        <v>6</v>
      </c>
      <c r="AF22" t="n">
        <v>2</v>
      </c>
      <c r="AG22" t="n">
        <v>2</v>
      </c>
      <c r="AH22" t="n">
        <v>1</v>
      </c>
      <c r="AI22" t="n">
        <v>1</v>
      </c>
      <c r="AJ22" t="n">
        <v>2</v>
      </c>
      <c r="AK22" t="n">
        <v>2</v>
      </c>
      <c r="AL22" t="n">
        <v>1</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HYPERLINK("https://creighton-primo.hosted.exlibrisgroup.com/primo-explore/search?tab=default_tab&amp;search_scope=EVERYTHING&amp;vid=01CRU&amp;lang=en_US&amp;offset=0&amp;query=any,contains,991000112269702656","Catalog Record")</f>
        <v/>
      </c>
      <c r="AT22">
        <f>HYPERLINK("http://www.worldcat.org/oclc/9016858","WorldCat Record")</f>
        <v/>
      </c>
      <c r="AU22" t="inlineStr">
        <is>
          <t>43301393:eng</t>
        </is>
      </c>
      <c r="AV22" t="inlineStr">
        <is>
          <t>9016858</t>
        </is>
      </c>
      <c r="AW22" t="inlineStr">
        <is>
          <t>991000112269702656</t>
        </is>
      </c>
      <c r="AX22" t="inlineStr">
        <is>
          <t>991000112269702656</t>
        </is>
      </c>
      <c r="AY22" t="inlineStr">
        <is>
          <t>2257467340002656</t>
        </is>
      </c>
      <c r="AZ22" t="inlineStr">
        <is>
          <t>BOOK</t>
        </is>
      </c>
      <c r="BB22" t="inlineStr">
        <is>
          <t>9780817009854</t>
        </is>
      </c>
      <c r="BC22" t="inlineStr">
        <is>
          <t>32285000926005</t>
        </is>
      </c>
      <c r="BD22" t="inlineStr">
        <is>
          <t>893626200</t>
        </is>
      </c>
    </row>
    <row r="23">
      <c r="A23" t="inlineStr">
        <is>
          <t>No</t>
        </is>
      </c>
      <c r="B23" t="inlineStr">
        <is>
          <t>BV1464 .T463 1995</t>
        </is>
      </c>
      <c r="C23" t="inlineStr">
        <is>
          <t>0                      BV 1464000T  463         1995</t>
        </is>
      </c>
      <c r="D23" t="inlineStr">
        <is>
          <t>Theologies of religious education / edited by Randolph Crump Miller.</t>
        </is>
      </c>
      <c r="F23" t="inlineStr">
        <is>
          <t>No</t>
        </is>
      </c>
      <c r="G23" t="inlineStr">
        <is>
          <t>1</t>
        </is>
      </c>
      <c r="H23" t="inlineStr">
        <is>
          <t>No</t>
        </is>
      </c>
      <c r="I23" t="inlineStr">
        <is>
          <t>No</t>
        </is>
      </c>
      <c r="J23" t="inlineStr">
        <is>
          <t>0</t>
        </is>
      </c>
      <c r="L23" t="inlineStr">
        <is>
          <t>Birmingham, Al : Religious Education Press, 1995.</t>
        </is>
      </c>
      <c r="M23" t="inlineStr">
        <is>
          <t>1995</t>
        </is>
      </c>
      <c r="O23" t="inlineStr">
        <is>
          <t>eng</t>
        </is>
      </c>
      <c r="P23" t="inlineStr">
        <is>
          <t>alu</t>
        </is>
      </c>
      <c r="R23" t="inlineStr">
        <is>
          <t xml:space="preserve">BV </t>
        </is>
      </c>
      <c r="S23" t="n">
        <v>3</v>
      </c>
      <c r="T23" t="n">
        <v>3</v>
      </c>
      <c r="U23" t="inlineStr">
        <is>
          <t>2003-04-27</t>
        </is>
      </c>
      <c r="V23" t="inlineStr">
        <is>
          <t>2003-04-27</t>
        </is>
      </c>
      <c r="W23" t="inlineStr">
        <is>
          <t>1995-10-16</t>
        </is>
      </c>
      <c r="X23" t="inlineStr">
        <is>
          <t>1995-10-16</t>
        </is>
      </c>
      <c r="Y23" t="n">
        <v>314</v>
      </c>
      <c r="Z23" t="n">
        <v>259</v>
      </c>
      <c r="AA23" t="n">
        <v>259</v>
      </c>
      <c r="AB23" t="n">
        <v>3</v>
      </c>
      <c r="AC23" t="n">
        <v>3</v>
      </c>
      <c r="AD23" t="n">
        <v>22</v>
      </c>
      <c r="AE23" t="n">
        <v>22</v>
      </c>
      <c r="AF23" t="n">
        <v>11</v>
      </c>
      <c r="AG23" t="n">
        <v>11</v>
      </c>
      <c r="AH23" t="n">
        <v>3</v>
      </c>
      <c r="AI23" t="n">
        <v>3</v>
      </c>
      <c r="AJ23" t="n">
        <v>11</v>
      </c>
      <c r="AK23" t="n">
        <v>11</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HYPERLINK("https://creighton-primo.hosted.exlibrisgroup.com/primo-explore/search?tab=default_tab&amp;search_scope=EVERYTHING&amp;vid=01CRU&amp;lang=en_US&amp;offset=0&amp;query=any,contains,991002503619702656","Catalog Record")</f>
        <v/>
      </c>
      <c r="AT23">
        <f>HYPERLINK("http://www.worldcat.org/oclc/32552013","WorldCat Record")</f>
        <v/>
      </c>
      <c r="AU23" t="inlineStr">
        <is>
          <t>55935127:eng</t>
        </is>
      </c>
      <c r="AV23" t="inlineStr">
        <is>
          <t>32552013</t>
        </is>
      </c>
      <c r="AW23" t="inlineStr">
        <is>
          <t>991002503619702656</t>
        </is>
      </c>
      <c r="AX23" t="inlineStr">
        <is>
          <t>991002503619702656</t>
        </is>
      </c>
      <c r="AY23" t="inlineStr">
        <is>
          <t>2267562980002656</t>
        </is>
      </c>
      <c r="AZ23" t="inlineStr">
        <is>
          <t>BOOK</t>
        </is>
      </c>
      <c r="BB23" t="inlineStr">
        <is>
          <t>9780891350965</t>
        </is>
      </c>
      <c r="BC23" t="inlineStr">
        <is>
          <t>32285002086964</t>
        </is>
      </c>
      <c r="BD23" t="inlineStr">
        <is>
          <t>893880016</t>
        </is>
      </c>
    </row>
    <row r="24">
      <c r="A24" t="inlineStr">
        <is>
          <t>No</t>
        </is>
      </c>
      <c r="B24" t="inlineStr">
        <is>
          <t>BV1465 .U4</t>
        </is>
      </c>
      <c r="C24" t="inlineStr">
        <is>
          <t>0                      BV 1465000U  4</t>
        </is>
      </c>
      <c r="D24" t="inlineStr">
        <is>
          <t>A history of religious education : documents and interpretations from the Judaeo-Christian tradition / Robert Ulich.</t>
        </is>
      </c>
      <c r="F24" t="inlineStr">
        <is>
          <t>No</t>
        </is>
      </c>
      <c r="G24" t="inlineStr">
        <is>
          <t>1</t>
        </is>
      </c>
      <c r="H24" t="inlineStr">
        <is>
          <t>No</t>
        </is>
      </c>
      <c r="I24" t="inlineStr">
        <is>
          <t>No</t>
        </is>
      </c>
      <c r="J24" t="inlineStr">
        <is>
          <t>0</t>
        </is>
      </c>
      <c r="K24" t="inlineStr">
        <is>
          <t>Ulich, Robert, 1890-1977.</t>
        </is>
      </c>
      <c r="L24" t="inlineStr">
        <is>
          <t>New York, New York University Press, 1968.</t>
        </is>
      </c>
      <c r="M24" t="inlineStr">
        <is>
          <t>1968</t>
        </is>
      </c>
      <c r="O24" t="inlineStr">
        <is>
          <t>eng</t>
        </is>
      </c>
      <c r="P24" t="inlineStr">
        <is>
          <t>nyu</t>
        </is>
      </c>
      <c r="R24" t="inlineStr">
        <is>
          <t xml:space="preserve">BV </t>
        </is>
      </c>
      <c r="S24" t="n">
        <v>1</v>
      </c>
      <c r="T24" t="n">
        <v>1</v>
      </c>
      <c r="U24" t="inlineStr">
        <is>
          <t>2001-01-27</t>
        </is>
      </c>
      <c r="V24" t="inlineStr">
        <is>
          <t>2001-01-27</t>
        </is>
      </c>
      <c r="W24" t="inlineStr">
        <is>
          <t>1992-01-28</t>
        </is>
      </c>
      <c r="X24" t="inlineStr">
        <is>
          <t>1992-01-28</t>
        </is>
      </c>
      <c r="Y24" t="n">
        <v>847</v>
      </c>
      <c r="Z24" t="n">
        <v>714</v>
      </c>
      <c r="AA24" t="n">
        <v>720</v>
      </c>
      <c r="AB24" t="n">
        <v>5</v>
      </c>
      <c r="AC24" t="n">
        <v>5</v>
      </c>
      <c r="AD24" t="n">
        <v>36</v>
      </c>
      <c r="AE24" t="n">
        <v>36</v>
      </c>
      <c r="AF24" t="n">
        <v>15</v>
      </c>
      <c r="AG24" t="n">
        <v>15</v>
      </c>
      <c r="AH24" t="n">
        <v>8</v>
      </c>
      <c r="AI24" t="n">
        <v>8</v>
      </c>
      <c r="AJ24" t="n">
        <v>19</v>
      </c>
      <c r="AK24" t="n">
        <v>19</v>
      </c>
      <c r="AL24" t="n">
        <v>3</v>
      </c>
      <c r="AM24" t="n">
        <v>3</v>
      </c>
      <c r="AN24" t="n">
        <v>0</v>
      </c>
      <c r="AO24" t="n">
        <v>0</v>
      </c>
      <c r="AP24" t="inlineStr">
        <is>
          <t>No</t>
        </is>
      </c>
      <c r="AQ24" t="inlineStr">
        <is>
          <t>Yes</t>
        </is>
      </c>
      <c r="AR24">
        <f>HYPERLINK("http://catalog.hathitrust.org/Record/001413616","HathiTrust Record")</f>
        <v/>
      </c>
      <c r="AS24">
        <f>HYPERLINK("https://creighton-primo.hosted.exlibrisgroup.com/primo-explore/search?tab=default_tab&amp;search_scope=EVERYTHING&amp;vid=01CRU&amp;lang=en_US&amp;offset=0&amp;query=any,contains,991002805529702656","Catalog Record")</f>
        <v/>
      </c>
      <c r="AT24">
        <f>HYPERLINK("http://www.worldcat.org/oclc/449371","WorldCat Record")</f>
        <v/>
      </c>
      <c r="AU24" t="inlineStr">
        <is>
          <t>836620087:eng</t>
        </is>
      </c>
      <c r="AV24" t="inlineStr">
        <is>
          <t>449371</t>
        </is>
      </c>
      <c r="AW24" t="inlineStr">
        <is>
          <t>991002805529702656</t>
        </is>
      </c>
      <c r="AX24" t="inlineStr">
        <is>
          <t>991002805529702656</t>
        </is>
      </c>
      <c r="AY24" t="inlineStr">
        <is>
          <t>2265238190002656</t>
        </is>
      </c>
      <c r="AZ24" t="inlineStr">
        <is>
          <t>BOOK</t>
        </is>
      </c>
      <c r="BC24" t="inlineStr">
        <is>
          <t>32285000926054</t>
        </is>
      </c>
      <c r="BD24" t="inlineStr">
        <is>
          <t>893685809</t>
        </is>
      </c>
    </row>
    <row r="25">
      <c r="A25" t="inlineStr">
        <is>
          <t>No</t>
        </is>
      </c>
      <c r="B25" t="inlineStr">
        <is>
          <t>BV1470.2 .M63 1983</t>
        </is>
      </c>
      <c r="C25" t="inlineStr">
        <is>
          <t>0                      BV 1470200M  63          1983</t>
        </is>
      </c>
      <c r="D25" t="inlineStr">
        <is>
          <t>Modern masters of religious education / edited by Marlene Mayr.</t>
        </is>
      </c>
      <c r="F25" t="inlineStr">
        <is>
          <t>No</t>
        </is>
      </c>
      <c r="G25" t="inlineStr">
        <is>
          <t>1</t>
        </is>
      </c>
      <c r="H25" t="inlineStr">
        <is>
          <t>No</t>
        </is>
      </c>
      <c r="I25" t="inlineStr">
        <is>
          <t>No</t>
        </is>
      </c>
      <c r="J25" t="inlineStr">
        <is>
          <t>0</t>
        </is>
      </c>
      <c r="L25" t="inlineStr">
        <is>
          <t>Birmingham, Ala. : Religious Education Press, 1983.</t>
        </is>
      </c>
      <c r="M25" t="inlineStr">
        <is>
          <t>1983</t>
        </is>
      </c>
      <c r="O25" t="inlineStr">
        <is>
          <t>eng</t>
        </is>
      </c>
      <c r="P25" t="inlineStr">
        <is>
          <t>alu</t>
        </is>
      </c>
      <c r="R25" t="inlineStr">
        <is>
          <t xml:space="preserve">BV </t>
        </is>
      </c>
      <c r="S25" t="n">
        <v>1</v>
      </c>
      <c r="T25" t="n">
        <v>1</v>
      </c>
      <c r="U25" t="inlineStr">
        <is>
          <t>1995-06-13</t>
        </is>
      </c>
      <c r="V25" t="inlineStr">
        <is>
          <t>1995-06-13</t>
        </is>
      </c>
      <c r="W25" t="inlineStr">
        <is>
          <t>1992-01-28</t>
        </is>
      </c>
      <c r="X25" t="inlineStr">
        <is>
          <t>1992-01-28</t>
        </is>
      </c>
      <c r="Y25" t="n">
        <v>346</v>
      </c>
      <c r="Z25" t="n">
        <v>290</v>
      </c>
      <c r="AA25" t="n">
        <v>296</v>
      </c>
      <c r="AB25" t="n">
        <v>3</v>
      </c>
      <c r="AC25" t="n">
        <v>3</v>
      </c>
      <c r="AD25" t="n">
        <v>24</v>
      </c>
      <c r="AE25" t="n">
        <v>24</v>
      </c>
      <c r="AF25" t="n">
        <v>10</v>
      </c>
      <c r="AG25" t="n">
        <v>10</v>
      </c>
      <c r="AH25" t="n">
        <v>6</v>
      </c>
      <c r="AI25" t="n">
        <v>6</v>
      </c>
      <c r="AJ25" t="n">
        <v>13</v>
      </c>
      <c r="AK25" t="n">
        <v>13</v>
      </c>
      <c r="AL25" t="n">
        <v>2</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HYPERLINK("https://creighton-primo.hosted.exlibrisgroup.com/primo-explore/search?tab=default_tab&amp;search_scope=EVERYTHING&amp;vid=01CRU&amp;lang=en_US&amp;offset=0&amp;query=any,contains,991000140579702656","Catalog Record")</f>
        <v/>
      </c>
      <c r="AT25">
        <f>HYPERLINK("http://www.worldcat.org/oclc/9154536","WorldCat Record")</f>
        <v/>
      </c>
      <c r="AU25" t="inlineStr">
        <is>
          <t>42892311:eng</t>
        </is>
      </c>
      <c r="AV25" t="inlineStr">
        <is>
          <t>9154536</t>
        </is>
      </c>
      <c r="AW25" t="inlineStr">
        <is>
          <t>991000140579702656</t>
        </is>
      </c>
      <c r="AX25" t="inlineStr">
        <is>
          <t>991000140579702656</t>
        </is>
      </c>
      <c r="AY25" t="inlineStr">
        <is>
          <t>2264607020002656</t>
        </is>
      </c>
      <c r="AZ25" t="inlineStr">
        <is>
          <t>BOOK</t>
        </is>
      </c>
      <c r="BB25" t="inlineStr">
        <is>
          <t>9780891350330</t>
        </is>
      </c>
      <c r="BC25" t="inlineStr">
        <is>
          <t>32285000926088</t>
        </is>
      </c>
      <c r="BD25" t="inlineStr">
        <is>
          <t>893784005</t>
        </is>
      </c>
    </row>
    <row r="26">
      <c r="A26" t="inlineStr">
        <is>
          <t>No</t>
        </is>
      </c>
      <c r="B26" t="inlineStr">
        <is>
          <t>BV1470.G7 W4</t>
        </is>
      </c>
      <c r="C26" t="inlineStr">
        <is>
          <t>0                      BV 1470000G  7                  W  4</t>
        </is>
      </c>
      <c r="D26" t="inlineStr">
        <is>
          <t>Religious education, 1944-1984 / edited by A.G. Wedderspoon.</t>
        </is>
      </c>
      <c r="F26" t="inlineStr">
        <is>
          <t>No</t>
        </is>
      </c>
      <c r="G26" t="inlineStr">
        <is>
          <t>1</t>
        </is>
      </c>
      <c r="H26" t="inlineStr">
        <is>
          <t>No</t>
        </is>
      </c>
      <c r="I26" t="inlineStr">
        <is>
          <t>No</t>
        </is>
      </c>
      <c r="J26" t="inlineStr">
        <is>
          <t>0</t>
        </is>
      </c>
      <c r="K26" t="inlineStr">
        <is>
          <t>Wedderspoon, Alexander editor.</t>
        </is>
      </c>
      <c r="L26" t="inlineStr">
        <is>
          <t>London, Allen &amp; Unwin, 1966.</t>
        </is>
      </c>
      <c r="M26" t="inlineStr">
        <is>
          <t>1966</t>
        </is>
      </c>
      <c r="O26" t="inlineStr">
        <is>
          <t>eng</t>
        </is>
      </c>
      <c r="P26" t="inlineStr">
        <is>
          <t>enk</t>
        </is>
      </c>
      <c r="R26" t="inlineStr">
        <is>
          <t xml:space="preserve">BV </t>
        </is>
      </c>
      <c r="S26" t="n">
        <v>1</v>
      </c>
      <c r="T26" t="n">
        <v>1</v>
      </c>
      <c r="U26" t="inlineStr">
        <is>
          <t>1992-04-14</t>
        </is>
      </c>
      <c r="V26" t="inlineStr">
        <is>
          <t>1992-04-14</t>
        </is>
      </c>
      <c r="W26" t="inlineStr">
        <is>
          <t>1990-03-28</t>
        </is>
      </c>
      <c r="X26" t="inlineStr">
        <is>
          <t>1990-03-28</t>
        </is>
      </c>
      <c r="Y26" t="n">
        <v>318</v>
      </c>
      <c r="Z26" t="n">
        <v>213</v>
      </c>
      <c r="AA26" t="n">
        <v>234</v>
      </c>
      <c r="AB26" t="n">
        <v>4</v>
      </c>
      <c r="AC26" t="n">
        <v>4</v>
      </c>
      <c r="AD26" t="n">
        <v>14</v>
      </c>
      <c r="AE26" t="n">
        <v>14</v>
      </c>
      <c r="AF26" t="n">
        <v>4</v>
      </c>
      <c r="AG26" t="n">
        <v>4</v>
      </c>
      <c r="AH26" t="n">
        <v>1</v>
      </c>
      <c r="AI26" t="n">
        <v>1</v>
      </c>
      <c r="AJ26" t="n">
        <v>8</v>
      </c>
      <c r="AK26" t="n">
        <v>8</v>
      </c>
      <c r="AL26" t="n">
        <v>3</v>
      </c>
      <c r="AM26" t="n">
        <v>3</v>
      </c>
      <c r="AN26" t="n">
        <v>0</v>
      </c>
      <c r="AO26" t="n">
        <v>0</v>
      </c>
      <c r="AP26" t="inlineStr">
        <is>
          <t>No</t>
        </is>
      </c>
      <c r="AQ26" t="inlineStr">
        <is>
          <t>Yes</t>
        </is>
      </c>
      <c r="AR26">
        <f>HYPERLINK("http://catalog.hathitrust.org/Record/004508825","HathiTrust Record")</f>
        <v/>
      </c>
      <c r="AS26">
        <f>HYPERLINK("https://creighton-primo.hosted.exlibrisgroup.com/primo-explore/search?tab=default_tab&amp;search_scope=EVERYTHING&amp;vid=01CRU&amp;lang=en_US&amp;offset=0&amp;query=any,contains,991002646029702656","Catalog Record")</f>
        <v/>
      </c>
      <c r="AT26">
        <f>HYPERLINK("http://www.worldcat.org/oclc/385828","WorldCat Record")</f>
        <v/>
      </c>
      <c r="AU26" t="inlineStr">
        <is>
          <t>309403889:eng</t>
        </is>
      </c>
      <c r="AV26" t="inlineStr">
        <is>
          <t>385828</t>
        </is>
      </c>
      <c r="AW26" t="inlineStr">
        <is>
          <t>991002646029702656</t>
        </is>
      </c>
      <c r="AX26" t="inlineStr">
        <is>
          <t>991002646029702656</t>
        </is>
      </c>
      <c r="AY26" t="inlineStr">
        <is>
          <t>2259138170002656</t>
        </is>
      </c>
      <c r="AZ26" t="inlineStr">
        <is>
          <t>BOOK</t>
        </is>
      </c>
      <c r="BC26" t="inlineStr">
        <is>
          <t>32285000099175</t>
        </is>
      </c>
      <c r="BD26" t="inlineStr">
        <is>
          <t>893698058</t>
        </is>
      </c>
    </row>
    <row r="27">
      <c r="A27" t="inlineStr">
        <is>
          <t>No</t>
        </is>
      </c>
      <c r="B27" t="inlineStr">
        <is>
          <t>BV1471 .S52</t>
        </is>
      </c>
      <c r="C27" t="inlineStr">
        <is>
          <t>0                      BV 1471000S  52</t>
        </is>
      </c>
      <c r="D27" t="inlineStr">
        <is>
          <t>Sharing the light of faith : national catechetical directory for Catholics of the United States.</t>
        </is>
      </c>
      <c r="F27" t="inlineStr">
        <is>
          <t>No</t>
        </is>
      </c>
      <c r="G27" t="inlineStr">
        <is>
          <t>1</t>
        </is>
      </c>
      <c r="H27" t="inlineStr">
        <is>
          <t>No</t>
        </is>
      </c>
      <c r="I27" t="inlineStr">
        <is>
          <t>Yes</t>
        </is>
      </c>
      <c r="J27" t="inlineStr">
        <is>
          <t>0</t>
        </is>
      </c>
      <c r="L27" t="inlineStr">
        <is>
          <t>[Washington] : United States Catholic Conference, Dept. of Education, c1979.</t>
        </is>
      </c>
      <c r="M27" t="inlineStr">
        <is>
          <t>1979</t>
        </is>
      </c>
      <c r="O27" t="inlineStr">
        <is>
          <t>eng</t>
        </is>
      </c>
      <c r="P27" t="inlineStr">
        <is>
          <t>dcu</t>
        </is>
      </c>
      <c r="R27" t="inlineStr">
        <is>
          <t xml:space="preserve">BV </t>
        </is>
      </c>
      <c r="S27" t="n">
        <v>4</v>
      </c>
      <c r="T27" t="n">
        <v>4</v>
      </c>
      <c r="U27" t="inlineStr">
        <is>
          <t>1997-06-09</t>
        </is>
      </c>
      <c r="V27" t="inlineStr">
        <is>
          <t>1997-06-09</t>
        </is>
      </c>
      <c r="W27" t="inlineStr">
        <is>
          <t>1992-01-28</t>
        </is>
      </c>
      <c r="X27" t="inlineStr">
        <is>
          <t>1992-01-28</t>
        </is>
      </c>
      <c r="Y27" t="n">
        <v>190</v>
      </c>
      <c r="Z27" t="n">
        <v>166</v>
      </c>
      <c r="AA27" t="n">
        <v>184</v>
      </c>
      <c r="AB27" t="n">
        <v>4</v>
      </c>
      <c r="AC27" t="n">
        <v>4</v>
      </c>
      <c r="AD27" t="n">
        <v>25</v>
      </c>
      <c r="AE27" t="n">
        <v>28</v>
      </c>
      <c r="AF27" t="n">
        <v>8</v>
      </c>
      <c r="AG27" t="n">
        <v>9</v>
      </c>
      <c r="AH27" t="n">
        <v>6</v>
      </c>
      <c r="AI27" t="n">
        <v>7</v>
      </c>
      <c r="AJ27" t="n">
        <v>18</v>
      </c>
      <c r="AK27" t="n">
        <v>20</v>
      </c>
      <c r="AL27" t="n">
        <v>1</v>
      </c>
      <c r="AM27" t="n">
        <v>1</v>
      </c>
      <c r="AN27" t="n">
        <v>0</v>
      </c>
      <c r="AO27" t="n">
        <v>0</v>
      </c>
      <c r="AP27" t="inlineStr">
        <is>
          <t>No</t>
        </is>
      </c>
      <c r="AQ27" t="inlineStr">
        <is>
          <t>No</t>
        </is>
      </c>
      <c r="AS27">
        <f>HYPERLINK("https://creighton-primo.hosted.exlibrisgroup.com/primo-explore/search?tab=default_tab&amp;search_scope=EVERYTHING&amp;vid=01CRU&amp;lang=en_US&amp;offset=0&amp;query=any,contains,991004725909702656","Catalog Record")</f>
        <v/>
      </c>
      <c r="AT27">
        <f>HYPERLINK("http://www.worldcat.org/oclc/4811508","WorldCat Record")</f>
        <v/>
      </c>
      <c r="AU27" t="inlineStr">
        <is>
          <t>3858869712:eng</t>
        </is>
      </c>
      <c r="AV27" t="inlineStr">
        <is>
          <t>4811508</t>
        </is>
      </c>
      <c r="AW27" t="inlineStr">
        <is>
          <t>991004725909702656</t>
        </is>
      </c>
      <c r="AX27" t="inlineStr">
        <is>
          <t>991004725909702656</t>
        </is>
      </c>
      <c r="AY27" t="inlineStr">
        <is>
          <t>2259890100002656</t>
        </is>
      </c>
      <c r="AZ27" t="inlineStr">
        <is>
          <t>BOOK</t>
        </is>
      </c>
      <c r="BC27" t="inlineStr">
        <is>
          <t>32285000926120</t>
        </is>
      </c>
      <c r="BD27" t="inlineStr">
        <is>
          <t>893606392</t>
        </is>
      </c>
    </row>
    <row r="28">
      <c r="A28" t="inlineStr">
        <is>
          <t>No</t>
        </is>
      </c>
      <c r="B28" t="inlineStr">
        <is>
          <t>BV1471 .S521</t>
        </is>
      </c>
      <c r="C28" t="inlineStr">
        <is>
          <t>0                      BV 1471000S  521</t>
        </is>
      </c>
      <c r="D28" t="inlineStr">
        <is>
          <t>An introduction to Sharing the light of faith : national catechetical directory for Catholics of the United States.</t>
        </is>
      </c>
      <c r="F28" t="inlineStr">
        <is>
          <t>No</t>
        </is>
      </c>
      <c r="G28" t="inlineStr">
        <is>
          <t>1</t>
        </is>
      </c>
      <c r="H28" t="inlineStr">
        <is>
          <t>No</t>
        </is>
      </c>
      <c r="I28" t="inlineStr">
        <is>
          <t>No</t>
        </is>
      </c>
      <c r="J28" t="inlineStr">
        <is>
          <t>0</t>
        </is>
      </c>
      <c r="L28" t="inlineStr">
        <is>
          <t>Washington (D.C.) : United States Catholic Conference, Dept. of Education, c1980.</t>
        </is>
      </c>
      <c r="M28" t="inlineStr">
        <is>
          <t>1980</t>
        </is>
      </c>
      <c r="O28" t="inlineStr">
        <is>
          <t>eng</t>
        </is>
      </c>
      <c r="P28" t="inlineStr">
        <is>
          <t>dcu</t>
        </is>
      </c>
      <c r="R28" t="inlineStr">
        <is>
          <t xml:space="preserve">BV </t>
        </is>
      </c>
      <c r="S28" t="n">
        <v>5</v>
      </c>
      <c r="T28" t="n">
        <v>5</v>
      </c>
      <c r="U28" t="inlineStr">
        <is>
          <t>1997-06-09</t>
        </is>
      </c>
      <c r="V28" t="inlineStr">
        <is>
          <t>1997-06-09</t>
        </is>
      </c>
      <c r="W28" t="inlineStr">
        <is>
          <t>1992-01-28</t>
        </is>
      </c>
      <c r="X28" t="inlineStr">
        <is>
          <t>1992-01-28</t>
        </is>
      </c>
      <c r="Y28" t="n">
        <v>72</v>
      </c>
      <c r="Z28" t="n">
        <v>66</v>
      </c>
      <c r="AA28" t="n">
        <v>70</v>
      </c>
      <c r="AB28" t="n">
        <v>1</v>
      </c>
      <c r="AC28" t="n">
        <v>1</v>
      </c>
      <c r="AD28" t="n">
        <v>11</v>
      </c>
      <c r="AE28" t="n">
        <v>11</v>
      </c>
      <c r="AF28" t="n">
        <v>2</v>
      </c>
      <c r="AG28" t="n">
        <v>2</v>
      </c>
      <c r="AH28" t="n">
        <v>4</v>
      </c>
      <c r="AI28" t="n">
        <v>4</v>
      </c>
      <c r="AJ28" t="n">
        <v>8</v>
      </c>
      <c r="AK28" t="n">
        <v>8</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HYPERLINK("https://creighton-primo.hosted.exlibrisgroup.com/primo-explore/search?tab=default_tab&amp;search_scope=EVERYTHING&amp;vid=01CRU&amp;lang=en_US&amp;offset=0&amp;query=any,contains,991005094139702656","Catalog Record")</f>
        <v/>
      </c>
      <c r="AT28">
        <f>HYPERLINK("http://www.worldcat.org/oclc/7261941","WorldCat Record")</f>
        <v/>
      </c>
      <c r="AU28" t="inlineStr">
        <is>
          <t>2287065764:eng</t>
        </is>
      </c>
      <c r="AV28" t="inlineStr">
        <is>
          <t>7261941</t>
        </is>
      </c>
      <c r="AW28" t="inlineStr">
        <is>
          <t>991005094139702656</t>
        </is>
      </c>
      <c r="AX28" t="inlineStr">
        <is>
          <t>991005094139702656</t>
        </is>
      </c>
      <c r="AY28" t="inlineStr">
        <is>
          <t>2259331810002656</t>
        </is>
      </c>
      <c r="AZ28" t="inlineStr">
        <is>
          <t>BOOK</t>
        </is>
      </c>
      <c r="BC28" t="inlineStr">
        <is>
          <t>32285000926138</t>
        </is>
      </c>
      <c r="BD28" t="inlineStr">
        <is>
          <t>893350693</t>
        </is>
      </c>
    </row>
    <row r="29">
      <c r="A29" t="inlineStr">
        <is>
          <t>No</t>
        </is>
      </c>
      <c r="B29" t="inlineStr">
        <is>
          <t>BV1471 .S523</t>
        </is>
      </c>
      <c r="C29" t="inlineStr">
        <is>
          <t>0                      BV 1471000S  523</t>
        </is>
      </c>
      <c r="D29" t="inlineStr">
        <is>
          <t>Sharing the light of faith : national catechetical directory for Catholics of the United States : an official commentary.</t>
        </is>
      </c>
      <c r="F29" t="inlineStr">
        <is>
          <t>No</t>
        </is>
      </c>
      <c r="G29" t="inlineStr">
        <is>
          <t>1</t>
        </is>
      </c>
      <c r="H29" t="inlineStr">
        <is>
          <t>No</t>
        </is>
      </c>
      <c r="I29" t="inlineStr">
        <is>
          <t>No</t>
        </is>
      </c>
      <c r="J29" t="inlineStr">
        <is>
          <t>0</t>
        </is>
      </c>
      <c r="L29" t="inlineStr">
        <is>
          <t>[Washington] : Publications Office, United States Catholic Conference, c1981.</t>
        </is>
      </c>
      <c r="M29" t="inlineStr">
        <is>
          <t>1981</t>
        </is>
      </c>
      <c r="O29" t="inlineStr">
        <is>
          <t>eng</t>
        </is>
      </c>
      <c r="P29" t="inlineStr">
        <is>
          <t>dcu</t>
        </is>
      </c>
      <c r="R29" t="inlineStr">
        <is>
          <t xml:space="preserve">BV </t>
        </is>
      </c>
      <c r="S29" t="n">
        <v>4</v>
      </c>
      <c r="T29" t="n">
        <v>4</v>
      </c>
      <c r="U29" t="inlineStr">
        <is>
          <t>2003-03-03</t>
        </is>
      </c>
      <c r="V29" t="inlineStr">
        <is>
          <t>2003-03-03</t>
        </is>
      </c>
      <c r="W29" t="inlineStr">
        <is>
          <t>1992-01-28</t>
        </is>
      </c>
      <c r="X29" t="inlineStr">
        <is>
          <t>1992-01-28</t>
        </is>
      </c>
      <c r="Y29" t="n">
        <v>106</v>
      </c>
      <c r="Z29" t="n">
        <v>100</v>
      </c>
      <c r="AA29" t="n">
        <v>100</v>
      </c>
      <c r="AB29" t="n">
        <v>3</v>
      </c>
      <c r="AC29" t="n">
        <v>3</v>
      </c>
      <c r="AD29" t="n">
        <v>21</v>
      </c>
      <c r="AE29" t="n">
        <v>21</v>
      </c>
      <c r="AF29" t="n">
        <v>7</v>
      </c>
      <c r="AG29" t="n">
        <v>7</v>
      </c>
      <c r="AH29" t="n">
        <v>7</v>
      </c>
      <c r="AI29" t="n">
        <v>7</v>
      </c>
      <c r="AJ29" t="n">
        <v>14</v>
      </c>
      <c r="AK29" t="n">
        <v>14</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HYPERLINK("https://creighton-primo.hosted.exlibrisgroup.com/primo-explore/search?tab=default_tab&amp;search_scope=EVERYTHING&amp;vid=01CRU&amp;lang=en_US&amp;offset=0&amp;query=any,contains,991005111449702656","Catalog Record")</f>
        <v/>
      </c>
      <c r="AT29">
        <f>HYPERLINK("http://www.worldcat.org/oclc/7438107","WorldCat Record")</f>
        <v/>
      </c>
      <c r="AU29" t="inlineStr">
        <is>
          <t>3861406726:eng</t>
        </is>
      </c>
      <c r="AV29" t="inlineStr">
        <is>
          <t>7438107</t>
        </is>
      </c>
      <c r="AW29" t="inlineStr">
        <is>
          <t>991005111449702656</t>
        </is>
      </c>
      <c r="AX29" t="inlineStr">
        <is>
          <t>991005111449702656</t>
        </is>
      </c>
      <c r="AY29" t="inlineStr">
        <is>
          <t>2269004930002656</t>
        </is>
      </c>
      <c r="AZ29" t="inlineStr">
        <is>
          <t>BOOK</t>
        </is>
      </c>
      <c r="BC29" t="inlineStr">
        <is>
          <t>32285000926146</t>
        </is>
      </c>
      <c r="BD29" t="inlineStr">
        <is>
          <t>893242222</t>
        </is>
      </c>
    </row>
    <row r="30">
      <c r="A30" t="inlineStr">
        <is>
          <t>No</t>
        </is>
      </c>
      <c r="B30" t="inlineStr">
        <is>
          <t>BV1471.2 .B357 1984</t>
        </is>
      </c>
      <c r="C30" t="inlineStr">
        <is>
          <t>0                      BV 1471200B  357         1984</t>
        </is>
      </c>
      <c r="D30" t="inlineStr">
        <is>
          <t>Teaching Christian values / Lucie W. Barber.</t>
        </is>
      </c>
      <c r="F30" t="inlineStr">
        <is>
          <t>No</t>
        </is>
      </c>
      <c r="G30" t="inlineStr">
        <is>
          <t>1</t>
        </is>
      </c>
      <c r="H30" t="inlineStr">
        <is>
          <t>No</t>
        </is>
      </c>
      <c r="I30" t="inlineStr">
        <is>
          <t>No</t>
        </is>
      </c>
      <c r="J30" t="inlineStr">
        <is>
          <t>0</t>
        </is>
      </c>
      <c r="K30" t="inlineStr">
        <is>
          <t>Barber, Lucie W.</t>
        </is>
      </c>
      <c r="L30" t="inlineStr">
        <is>
          <t>Birmingham, Ala. : Religious Education Press, 1984.</t>
        </is>
      </c>
      <c r="M30" t="inlineStr">
        <is>
          <t>1984</t>
        </is>
      </c>
      <c r="O30" t="inlineStr">
        <is>
          <t>eng</t>
        </is>
      </c>
      <c r="P30" t="inlineStr">
        <is>
          <t>alu</t>
        </is>
      </c>
      <c r="R30" t="inlineStr">
        <is>
          <t xml:space="preserve">BV </t>
        </is>
      </c>
      <c r="S30" t="n">
        <v>1</v>
      </c>
      <c r="T30" t="n">
        <v>1</v>
      </c>
      <c r="U30" t="inlineStr">
        <is>
          <t>2002-06-09</t>
        </is>
      </c>
      <c r="V30" t="inlineStr">
        <is>
          <t>2002-06-09</t>
        </is>
      </c>
      <c r="W30" t="inlineStr">
        <is>
          <t>1992-01-28</t>
        </is>
      </c>
      <c r="X30" t="inlineStr">
        <is>
          <t>1992-01-28</t>
        </is>
      </c>
      <c r="Y30" t="n">
        <v>341</v>
      </c>
      <c r="Z30" t="n">
        <v>281</v>
      </c>
      <c r="AA30" t="n">
        <v>286</v>
      </c>
      <c r="AB30" t="n">
        <v>3</v>
      </c>
      <c r="AC30" t="n">
        <v>3</v>
      </c>
      <c r="AD30" t="n">
        <v>20</v>
      </c>
      <c r="AE30" t="n">
        <v>20</v>
      </c>
      <c r="AF30" t="n">
        <v>8</v>
      </c>
      <c r="AG30" t="n">
        <v>8</v>
      </c>
      <c r="AH30" t="n">
        <v>3</v>
      </c>
      <c r="AI30" t="n">
        <v>3</v>
      </c>
      <c r="AJ30" t="n">
        <v>11</v>
      </c>
      <c r="AK30" t="n">
        <v>11</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HYPERLINK("https://creighton-primo.hosted.exlibrisgroup.com/primo-explore/search?tab=default_tab&amp;search_scope=EVERYTHING&amp;vid=01CRU&amp;lang=en_US&amp;offset=0&amp;query=any,contains,991000311529702656","Catalog Record")</f>
        <v/>
      </c>
      <c r="AT30">
        <f>HYPERLINK("http://www.worldcat.org/oclc/10099249","WorldCat Record")</f>
        <v/>
      </c>
      <c r="AU30" t="inlineStr">
        <is>
          <t>3573589:eng</t>
        </is>
      </c>
      <c r="AV30" t="inlineStr">
        <is>
          <t>10099249</t>
        </is>
      </c>
      <c r="AW30" t="inlineStr">
        <is>
          <t>991000311529702656</t>
        </is>
      </c>
      <c r="AX30" t="inlineStr">
        <is>
          <t>991000311529702656</t>
        </is>
      </c>
      <c r="AY30" t="inlineStr">
        <is>
          <t>2265713110002656</t>
        </is>
      </c>
      <c r="AZ30" t="inlineStr">
        <is>
          <t>BOOK</t>
        </is>
      </c>
      <c r="BB30" t="inlineStr">
        <is>
          <t>9780891350415</t>
        </is>
      </c>
      <c r="BC30" t="inlineStr">
        <is>
          <t>32285000926153</t>
        </is>
      </c>
      <c r="BD30" t="inlineStr">
        <is>
          <t>893231024</t>
        </is>
      </c>
    </row>
    <row r="31">
      <c r="A31" t="inlineStr">
        <is>
          <t>No</t>
        </is>
      </c>
      <c r="B31" t="inlineStr">
        <is>
          <t>BV1471.2 .B68 1989</t>
        </is>
      </c>
      <c r="C31" t="inlineStr">
        <is>
          <t>0                      BV 1471200B  68          1989</t>
        </is>
      </c>
      <c r="D31" t="inlineStr">
        <is>
          <t>Educating in faith : maps and visions / Mary C. Boys.</t>
        </is>
      </c>
      <c r="F31" t="inlineStr">
        <is>
          <t>No</t>
        </is>
      </c>
      <c r="G31" t="inlineStr">
        <is>
          <t>1</t>
        </is>
      </c>
      <c r="H31" t="inlineStr">
        <is>
          <t>No</t>
        </is>
      </c>
      <c r="I31" t="inlineStr">
        <is>
          <t>No</t>
        </is>
      </c>
      <c r="J31" t="inlineStr">
        <is>
          <t>0</t>
        </is>
      </c>
      <c r="K31" t="inlineStr">
        <is>
          <t>Boys, Mary C.</t>
        </is>
      </c>
      <c r="L31" t="inlineStr">
        <is>
          <t>San Francisco : Harper &amp; Row, c1989.</t>
        </is>
      </c>
      <c r="M31" t="inlineStr">
        <is>
          <t>1989</t>
        </is>
      </c>
      <c r="N31" t="inlineStr">
        <is>
          <t>1st ed.</t>
        </is>
      </c>
      <c r="O31" t="inlineStr">
        <is>
          <t>eng</t>
        </is>
      </c>
      <c r="P31" t="inlineStr">
        <is>
          <t>cau</t>
        </is>
      </c>
      <c r="R31" t="inlineStr">
        <is>
          <t xml:space="preserve">BV </t>
        </is>
      </c>
      <c r="S31" t="n">
        <v>5</v>
      </c>
      <c r="T31" t="n">
        <v>5</v>
      </c>
      <c r="U31" t="inlineStr">
        <is>
          <t>2003-03-02</t>
        </is>
      </c>
      <c r="V31" t="inlineStr">
        <is>
          <t>2003-03-02</t>
        </is>
      </c>
      <c r="W31" t="inlineStr">
        <is>
          <t>1990-05-03</t>
        </is>
      </c>
      <c r="X31" t="inlineStr">
        <is>
          <t>1990-05-03</t>
        </is>
      </c>
      <c r="Y31" t="n">
        <v>296</v>
      </c>
      <c r="Z31" t="n">
        <v>240</v>
      </c>
      <c r="AA31" t="n">
        <v>295</v>
      </c>
      <c r="AB31" t="n">
        <v>2</v>
      </c>
      <c r="AC31" t="n">
        <v>2</v>
      </c>
      <c r="AD31" t="n">
        <v>18</v>
      </c>
      <c r="AE31" t="n">
        <v>26</v>
      </c>
      <c r="AF31" t="n">
        <v>3</v>
      </c>
      <c r="AG31" t="n">
        <v>10</v>
      </c>
      <c r="AH31" t="n">
        <v>6</v>
      </c>
      <c r="AI31" t="n">
        <v>6</v>
      </c>
      <c r="AJ31" t="n">
        <v>11</v>
      </c>
      <c r="AK31" t="n">
        <v>15</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HYPERLINK("https://creighton-primo.hosted.exlibrisgroup.com/primo-explore/search?tab=default_tab&amp;search_scope=EVERYTHING&amp;vid=01CRU&amp;lang=en_US&amp;offset=0&amp;query=any,contains,991001410949702656","Catalog Record")</f>
        <v/>
      </c>
      <c r="AT31">
        <f>HYPERLINK("http://www.worldcat.org/oclc/18907284","WorldCat Record")</f>
        <v/>
      </c>
      <c r="AU31" t="inlineStr">
        <is>
          <t>6160608:eng</t>
        </is>
      </c>
      <c r="AV31" t="inlineStr">
        <is>
          <t>18907284</t>
        </is>
      </c>
      <c r="AW31" t="inlineStr">
        <is>
          <t>991001410949702656</t>
        </is>
      </c>
      <c r="AX31" t="inlineStr">
        <is>
          <t>991001410949702656</t>
        </is>
      </c>
      <c r="AY31" t="inlineStr">
        <is>
          <t>2256791810002656</t>
        </is>
      </c>
      <c r="AZ31" t="inlineStr">
        <is>
          <t>BOOK</t>
        </is>
      </c>
      <c r="BB31" t="inlineStr">
        <is>
          <t>9780060610371</t>
        </is>
      </c>
      <c r="BC31" t="inlineStr">
        <is>
          <t>32285000118124</t>
        </is>
      </c>
      <c r="BD31" t="inlineStr">
        <is>
          <t>893244119</t>
        </is>
      </c>
    </row>
    <row r="32">
      <c r="A32" t="inlineStr">
        <is>
          <t>No</t>
        </is>
      </c>
      <c r="B32" t="inlineStr">
        <is>
          <t>BV1471.2 .C312 1965</t>
        </is>
      </c>
      <c r="C32" t="inlineStr">
        <is>
          <t>0                      BV 1471200C  312         1965</t>
        </is>
      </c>
      <c r="D32" t="inlineStr">
        <is>
          <t>The structure of catechetics.</t>
        </is>
      </c>
      <c r="F32" t="inlineStr">
        <is>
          <t>No</t>
        </is>
      </c>
      <c r="G32" t="inlineStr">
        <is>
          <t>1</t>
        </is>
      </c>
      <c r="H32" t="inlineStr">
        <is>
          <t>No</t>
        </is>
      </c>
      <c r="I32" t="inlineStr">
        <is>
          <t>No</t>
        </is>
      </c>
      <c r="J32" t="inlineStr">
        <is>
          <t>0</t>
        </is>
      </c>
      <c r="K32" t="inlineStr">
        <is>
          <t>Caster, Marcel.</t>
        </is>
      </c>
      <c r="L32" t="inlineStr">
        <is>
          <t>New York] : Herder &amp; Herder, [1965]</t>
        </is>
      </c>
      <c r="M32" t="inlineStr">
        <is>
          <t>1965</t>
        </is>
      </c>
      <c r="N32" t="inlineStr">
        <is>
          <t>[2d augm. ed., adapted by the author and translated by Edward J. Dirkswager, Jr., Olga Guedetarian, and Mother Nicolas Smith.</t>
        </is>
      </c>
      <c r="O32" t="inlineStr">
        <is>
          <t>eng</t>
        </is>
      </c>
      <c r="P32" t="inlineStr">
        <is>
          <t xml:space="preserve">xx </t>
        </is>
      </c>
      <c r="R32" t="inlineStr">
        <is>
          <t xml:space="preserve">BV </t>
        </is>
      </c>
      <c r="S32" t="n">
        <v>2</v>
      </c>
      <c r="T32" t="n">
        <v>2</v>
      </c>
      <c r="U32" t="inlineStr">
        <is>
          <t>2007-04-24</t>
        </is>
      </c>
      <c r="V32" t="inlineStr">
        <is>
          <t>2007-04-24</t>
        </is>
      </c>
      <c r="W32" t="inlineStr">
        <is>
          <t>1992-01-28</t>
        </is>
      </c>
      <c r="X32" t="inlineStr">
        <is>
          <t>1992-01-28</t>
        </is>
      </c>
      <c r="Y32" t="n">
        <v>198</v>
      </c>
      <c r="Z32" t="n">
        <v>164</v>
      </c>
      <c r="AA32" t="n">
        <v>177</v>
      </c>
      <c r="AB32" t="n">
        <v>3</v>
      </c>
      <c r="AC32" t="n">
        <v>3</v>
      </c>
      <c r="AD32" t="n">
        <v>22</v>
      </c>
      <c r="AE32" t="n">
        <v>24</v>
      </c>
      <c r="AF32" t="n">
        <v>7</v>
      </c>
      <c r="AG32" t="n">
        <v>8</v>
      </c>
      <c r="AH32" t="n">
        <v>6</v>
      </c>
      <c r="AI32" t="n">
        <v>6</v>
      </c>
      <c r="AJ32" t="n">
        <v>19</v>
      </c>
      <c r="AK32" t="n">
        <v>21</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HYPERLINK("https://creighton-primo.hosted.exlibrisgroup.com/primo-explore/search?tab=default_tab&amp;search_scope=EVERYTHING&amp;vid=01CRU&amp;lang=en_US&amp;offset=0&amp;query=any,contains,991004339489702656","Catalog Record")</f>
        <v/>
      </c>
      <c r="AT32">
        <f>HYPERLINK("http://www.worldcat.org/oclc/3085942","WorldCat Record")</f>
        <v/>
      </c>
      <c r="AU32" t="inlineStr">
        <is>
          <t>2908591886:eng</t>
        </is>
      </c>
      <c r="AV32" t="inlineStr">
        <is>
          <t>3085942</t>
        </is>
      </c>
      <c r="AW32" t="inlineStr">
        <is>
          <t>991004339489702656</t>
        </is>
      </c>
      <c r="AX32" t="inlineStr">
        <is>
          <t>991004339489702656</t>
        </is>
      </c>
      <c r="AY32" t="inlineStr">
        <is>
          <t>2266664300002656</t>
        </is>
      </c>
      <c r="AZ32" t="inlineStr">
        <is>
          <t>BOOK</t>
        </is>
      </c>
      <c r="BC32" t="inlineStr">
        <is>
          <t>32285000926187</t>
        </is>
      </c>
      <c r="BD32" t="inlineStr">
        <is>
          <t>893442502</t>
        </is>
      </c>
    </row>
    <row r="33">
      <c r="A33" t="inlineStr">
        <is>
          <t>No</t>
        </is>
      </c>
      <c r="B33" t="inlineStr">
        <is>
          <t>BV1471.2 .C3513 1971</t>
        </is>
      </c>
      <c r="C33" t="inlineStr">
        <is>
          <t>0                      BV 1471200C  3513        1971</t>
        </is>
      </c>
      <c r="D33" t="inlineStr">
        <is>
          <t>General catechetical directory.</t>
        </is>
      </c>
      <c r="F33" t="inlineStr">
        <is>
          <t>No</t>
        </is>
      </c>
      <c r="G33" t="inlineStr">
        <is>
          <t>1</t>
        </is>
      </c>
      <c r="H33" t="inlineStr">
        <is>
          <t>No</t>
        </is>
      </c>
      <c r="I33" t="inlineStr">
        <is>
          <t>No</t>
        </is>
      </c>
      <c r="J33" t="inlineStr">
        <is>
          <t>0</t>
        </is>
      </c>
      <c r="K33" t="inlineStr">
        <is>
          <t>Catholic Church. Congregatio pro Clericis.</t>
        </is>
      </c>
      <c r="L33" t="inlineStr">
        <is>
          <t>Washington : Publications Office, United States Catholic Conference, 1971.</t>
        </is>
      </c>
      <c r="M33" t="inlineStr">
        <is>
          <t>1971</t>
        </is>
      </c>
      <c r="O33" t="inlineStr">
        <is>
          <t>eng</t>
        </is>
      </c>
      <c r="P33" t="inlineStr">
        <is>
          <t>dcu</t>
        </is>
      </c>
      <c r="R33" t="inlineStr">
        <is>
          <t xml:space="preserve">BV </t>
        </is>
      </c>
      <c r="S33" t="n">
        <v>5</v>
      </c>
      <c r="T33" t="n">
        <v>5</v>
      </c>
      <c r="U33" t="inlineStr">
        <is>
          <t>1997-09-22</t>
        </is>
      </c>
      <c r="V33" t="inlineStr">
        <is>
          <t>1997-09-22</t>
        </is>
      </c>
      <c r="W33" t="inlineStr">
        <is>
          <t>1992-01-28</t>
        </is>
      </c>
      <c r="X33" t="inlineStr">
        <is>
          <t>1992-01-28</t>
        </is>
      </c>
      <c r="Y33" t="n">
        <v>136</v>
      </c>
      <c r="Z33" t="n">
        <v>122</v>
      </c>
      <c r="AA33" t="n">
        <v>132</v>
      </c>
      <c r="AB33" t="n">
        <v>2</v>
      </c>
      <c r="AC33" t="n">
        <v>2</v>
      </c>
      <c r="AD33" t="n">
        <v>24</v>
      </c>
      <c r="AE33" t="n">
        <v>24</v>
      </c>
      <c r="AF33" t="n">
        <v>7</v>
      </c>
      <c r="AG33" t="n">
        <v>7</v>
      </c>
      <c r="AH33" t="n">
        <v>7</v>
      </c>
      <c r="AI33" t="n">
        <v>7</v>
      </c>
      <c r="AJ33" t="n">
        <v>18</v>
      </c>
      <c r="AK33" t="n">
        <v>18</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HYPERLINK("https://creighton-primo.hosted.exlibrisgroup.com/primo-explore/search?tab=default_tab&amp;search_scope=EVERYTHING&amp;vid=01CRU&amp;lang=en_US&amp;offset=0&amp;query=any,contains,991003069019702656","Catalog Record")</f>
        <v/>
      </c>
      <c r="AT33">
        <f>HYPERLINK("http://www.worldcat.org/oclc/623701","WorldCat Record")</f>
        <v/>
      </c>
      <c r="AU33" t="inlineStr">
        <is>
          <t>1707576:eng</t>
        </is>
      </c>
      <c r="AV33" t="inlineStr">
        <is>
          <t>623701</t>
        </is>
      </c>
      <c r="AW33" t="inlineStr">
        <is>
          <t>991003069019702656</t>
        </is>
      </c>
      <c r="AX33" t="inlineStr">
        <is>
          <t>991003069019702656</t>
        </is>
      </c>
      <c r="AY33" t="inlineStr">
        <is>
          <t>2256058600002656</t>
        </is>
      </c>
      <c r="AZ33" t="inlineStr">
        <is>
          <t>BOOK</t>
        </is>
      </c>
      <c r="BC33" t="inlineStr">
        <is>
          <t>32285000926203</t>
        </is>
      </c>
      <c r="BD33" t="inlineStr">
        <is>
          <t>893874395</t>
        </is>
      </c>
    </row>
    <row r="34">
      <c r="A34" t="inlineStr">
        <is>
          <t>No</t>
        </is>
      </c>
      <c r="B34" t="inlineStr">
        <is>
          <t>BV1471.2 .C3514 2000</t>
        </is>
      </c>
      <c r="C34" t="inlineStr">
        <is>
          <t>0                      BV 1471200C  3514        2000</t>
        </is>
      </c>
      <c r="D34" t="inlineStr">
        <is>
          <t>Sowing seeds : notes and comments on the General directory for catechesis : a resource / developed by the Department of Education, United States Catholic Conference.</t>
        </is>
      </c>
      <c r="F34" t="inlineStr">
        <is>
          <t>No</t>
        </is>
      </c>
      <c r="G34" t="inlineStr">
        <is>
          <t>1</t>
        </is>
      </c>
      <c r="H34" t="inlineStr">
        <is>
          <t>No</t>
        </is>
      </c>
      <c r="I34" t="inlineStr">
        <is>
          <t>No</t>
        </is>
      </c>
      <c r="J34" t="inlineStr">
        <is>
          <t>0</t>
        </is>
      </c>
      <c r="K34" t="inlineStr">
        <is>
          <t>United States Catholic Conference. Department of Education.</t>
        </is>
      </c>
      <c r="L34" t="inlineStr">
        <is>
          <t>Washington, D.C. : The Conference, c2000.</t>
        </is>
      </c>
      <c r="M34" t="inlineStr">
        <is>
          <t>2000</t>
        </is>
      </c>
      <c r="O34" t="inlineStr">
        <is>
          <t>eng</t>
        </is>
      </c>
      <c r="P34" t="inlineStr">
        <is>
          <t>dcu</t>
        </is>
      </c>
      <c r="Q34" t="inlineStr">
        <is>
          <t>Publication (United States Catholic Conference) ; no. 5-317</t>
        </is>
      </c>
      <c r="R34" t="inlineStr">
        <is>
          <t xml:space="preserve">BV </t>
        </is>
      </c>
      <c r="S34" t="n">
        <v>3</v>
      </c>
      <c r="T34" t="n">
        <v>3</v>
      </c>
      <c r="U34" t="inlineStr">
        <is>
          <t>2006-03-20</t>
        </is>
      </c>
      <c r="V34" t="inlineStr">
        <is>
          <t>2006-03-20</t>
        </is>
      </c>
      <c r="W34" t="inlineStr">
        <is>
          <t>2000-06-29</t>
        </is>
      </c>
      <c r="X34" t="inlineStr">
        <is>
          <t>2000-06-29</t>
        </is>
      </c>
      <c r="Y34" t="n">
        <v>84</v>
      </c>
      <c r="Z34" t="n">
        <v>80</v>
      </c>
      <c r="AA34" t="n">
        <v>80</v>
      </c>
      <c r="AB34" t="n">
        <v>1</v>
      </c>
      <c r="AC34" t="n">
        <v>1</v>
      </c>
      <c r="AD34" t="n">
        <v>11</v>
      </c>
      <c r="AE34" t="n">
        <v>11</v>
      </c>
      <c r="AF34" t="n">
        <v>3</v>
      </c>
      <c r="AG34" t="n">
        <v>3</v>
      </c>
      <c r="AH34" t="n">
        <v>3</v>
      </c>
      <c r="AI34" t="n">
        <v>3</v>
      </c>
      <c r="AJ34" t="n">
        <v>8</v>
      </c>
      <c r="AK34" t="n">
        <v>8</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HYPERLINK("https://creighton-primo.hosted.exlibrisgroup.com/primo-explore/search?tab=default_tab&amp;search_scope=EVERYTHING&amp;vid=01CRU&amp;lang=en_US&amp;offset=0&amp;query=any,contains,991003196279702656","Catalog Record")</f>
        <v/>
      </c>
      <c r="AT34">
        <f>HYPERLINK("http://www.worldcat.org/oclc/44070556","WorldCat Record")</f>
        <v/>
      </c>
      <c r="AU34" t="inlineStr">
        <is>
          <t>1042367786:eng</t>
        </is>
      </c>
      <c r="AV34" t="inlineStr">
        <is>
          <t>44070556</t>
        </is>
      </c>
      <c r="AW34" t="inlineStr">
        <is>
          <t>991003196279702656</t>
        </is>
      </c>
      <c r="AX34" t="inlineStr">
        <is>
          <t>991003196279702656</t>
        </is>
      </c>
      <c r="AY34" t="inlineStr">
        <is>
          <t>2264876030002656</t>
        </is>
      </c>
      <c r="AZ34" t="inlineStr">
        <is>
          <t>BOOK</t>
        </is>
      </c>
      <c r="BB34" t="inlineStr">
        <is>
          <t>9781574553178</t>
        </is>
      </c>
      <c r="BC34" t="inlineStr">
        <is>
          <t>32285003713293</t>
        </is>
      </c>
      <c r="BD34" t="inlineStr">
        <is>
          <t>893717406</t>
        </is>
      </c>
    </row>
    <row r="35">
      <c r="A35" t="inlineStr">
        <is>
          <t>No</t>
        </is>
      </c>
      <c r="B35" t="inlineStr">
        <is>
          <t>BV1471.2 .C47 1984</t>
        </is>
      </c>
      <c r="C35" t="inlineStr">
        <is>
          <t>0                      BV 1471200C  47          1984</t>
        </is>
      </c>
      <c r="D35" t="inlineStr">
        <is>
          <t>Changing patterns of religious education / edited by Marvin J. Taylor.</t>
        </is>
      </c>
      <c r="F35" t="inlineStr">
        <is>
          <t>No</t>
        </is>
      </c>
      <c r="G35" t="inlineStr">
        <is>
          <t>1</t>
        </is>
      </c>
      <c r="H35" t="inlineStr">
        <is>
          <t>No</t>
        </is>
      </c>
      <c r="I35" t="inlineStr">
        <is>
          <t>No</t>
        </is>
      </c>
      <c r="J35" t="inlineStr">
        <is>
          <t>0</t>
        </is>
      </c>
      <c r="L35" t="inlineStr">
        <is>
          <t>Nashville : Abingdon Press, c1984.</t>
        </is>
      </c>
      <c r="M35" t="inlineStr">
        <is>
          <t>1984</t>
        </is>
      </c>
      <c r="O35" t="inlineStr">
        <is>
          <t>eng</t>
        </is>
      </c>
      <c r="P35" t="inlineStr">
        <is>
          <t>tnu</t>
        </is>
      </c>
      <c r="R35" t="inlineStr">
        <is>
          <t xml:space="preserve">BV </t>
        </is>
      </c>
      <c r="S35" t="n">
        <v>3</v>
      </c>
      <c r="T35" t="n">
        <v>3</v>
      </c>
      <c r="U35" t="inlineStr">
        <is>
          <t>1998-12-05</t>
        </is>
      </c>
      <c r="V35" t="inlineStr">
        <is>
          <t>1998-12-05</t>
        </is>
      </c>
      <c r="W35" t="inlineStr">
        <is>
          <t>1990-03-28</t>
        </is>
      </c>
      <c r="X35" t="inlineStr">
        <is>
          <t>1990-03-28</t>
        </is>
      </c>
      <c r="Y35" t="n">
        <v>316</v>
      </c>
      <c r="Z35" t="n">
        <v>265</v>
      </c>
      <c r="AA35" t="n">
        <v>270</v>
      </c>
      <c r="AB35" t="n">
        <v>3</v>
      </c>
      <c r="AC35" t="n">
        <v>3</v>
      </c>
      <c r="AD35" t="n">
        <v>15</v>
      </c>
      <c r="AE35" t="n">
        <v>15</v>
      </c>
      <c r="AF35" t="n">
        <v>4</v>
      </c>
      <c r="AG35" t="n">
        <v>4</v>
      </c>
      <c r="AH35" t="n">
        <v>3</v>
      </c>
      <c r="AI35" t="n">
        <v>3</v>
      </c>
      <c r="AJ35" t="n">
        <v>7</v>
      </c>
      <c r="AK35" t="n">
        <v>7</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HYPERLINK("https://creighton-primo.hosted.exlibrisgroup.com/primo-explore/search?tab=default_tab&amp;search_scope=EVERYTHING&amp;vid=01CRU&amp;lang=en_US&amp;offset=0&amp;query=any,contains,991000316859702656","Catalog Record")</f>
        <v/>
      </c>
      <c r="AT35">
        <f>HYPERLINK("http://www.worldcat.org/oclc/10123344","WorldCat Record")</f>
        <v/>
      </c>
      <c r="AU35" t="inlineStr">
        <is>
          <t>152287414:eng</t>
        </is>
      </c>
      <c r="AV35" t="inlineStr">
        <is>
          <t>10123344</t>
        </is>
      </c>
      <c r="AW35" t="inlineStr">
        <is>
          <t>991000316859702656</t>
        </is>
      </c>
      <c r="AX35" t="inlineStr">
        <is>
          <t>991000316859702656</t>
        </is>
      </c>
      <c r="AY35" t="inlineStr">
        <is>
          <t>2270290980002656</t>
        </is>
      </c>
      <c r="AZ35" t="inlineStr">
        <is>
          <t>BOOK</t>
        </is>
      </c>
      <c r="BB35" t="inlineStr">
        <is>
          <t>9780687060467</t>
        </is>
      </c>
      <c r="BC35" t="inlineStr">
        <is>
          <t>32285000105188</t>
        </is>
      </c>
      <c r="BD35" t="inlineStr">
        <is>
          <t>893890575</t>
        </is>
      </c>
    </row>
    <row r="36">
      <c r="A36" t="inlineStr">
        <is>
          <t>No</t>
        </is>
      </c>
      <c r="B36" t="inlineStr">
        <is>
          <t>BV1471.2 .C76 1999</t>
        </is>
      </c>
      <c r="C36" t="inlineStr">
        <is>
          <t>0                      BV 1471200C  76          1999</t>
        </is>
      </c>
      <c r="D36" t="inlineStr">
        <is>
          <t>Character development in the Catholic school / by Patricia H. Cronin.</t>
        </is>
      </c>
      <c r="F36" t="inlineStr">
        <is>
          <t>No</t>
        </is>
      </c>
      <c r="G36" t="inlineStr">
        <is>
          <t>1</t>
        </is>
      </c>
      <c r="H36" t="inlineStr">
        <is>
          <t>No</t>
        </is>
      </c>
      <c r="I36" t="inlineStr">
        <is>
          <t>No</t>
        </is>
      </c>
      <c r="J36" t="inlineStr">
        <is>
          <t>0</t>
        </is>
      </c>
      <c r="K36" t="inlineStr">
        <is>
          <t>Cronin, Patricia H.</t>
        </is>
      </c>
      <c r="L36" t="inlineStr">
        <is>
          <t>Washington, DC : National Catholic Educational Association, c1999</t>
        </is>
      </c>
      <c r="M36" t="inlineStr">
        <is>
          <t>1999</t>
        </is>
      </c>
      <c r="O36" t="inlineStr">
        <is>
          <t>eng</t>
        </is>
      </c>
      <c r="P36" t="inlineStr">
        <is>
          <t>dcu</t>
        </is>
      </c>
      <c r="R36" t="inlineStr">
        <is>
          <t xml:space="preserve">BV </t>
        </is>
      </c>
      <c r="S36" t="n">
        <v>2</v>
      </c>
      <c r="T36" t="n">
        <v>2</v>
      </c>
      <c r="U36" t="inlineStr">
        <is>
          <t>2001-11-28</t>
        </is>
      </c>
      <c r="V36" t="inlineStr">
        <is>
          <t>2001-11-28</t>
        </is>
      </c>
      <c r="W36" t="inlineStr">
        <is>
          <t>1999-07-28</t>
        </is>
      </c>
      <c r="X36" t="inlineStr">
        <is>
          <t>1999-07-28</t>
        </is>
      </c>
      <c r="Y36" t="n">
        <v>30</v>
      </c>
      <c r="Z36" t="n">
        <v>25</v>
      </c>
      <c r="AA36" t="n">
        <v>27</v>
      </c>
      <c r="AB36" t="n">
        <v>1</v>
      </c>
      <c r="AC36" t="n">
        <v>1</v>
      </c>
      <c r="AD36" t="n">
        <v>6</v>
      </c>
      <c r="AE36" t="n">
        <v>6</v>
      </c>
      <c r="AF36" t="n">
        <v>2</v>
      </c>
      <c r="AG36" t="n">
        <v>2</v>
      </c>
      <c r="AH36" t="n">
        <v>1</v>
      </c>
      <c r="AI36" t="n">
        <v>1</v>
      </c>
      <c r="AJ36" t="n">
        <v>4</v>
      </c>
      <c r="AK36" t="n">
        <v>4</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HYPERLINK("https://creighton-primo.hosted.exlibrisgroup.com/primo-explore/search?tab=default_tab&amp;search_scope=EVERYTHING&amp;vid=01CRU&amp;lang=en_US&amp;offset=0&amp;query=any,contains,991003037589702656","Catalog Record")</f>
        <v/>
      </c>
      <c r="AT36">
        <f>HYPERLINK("http://www.worldcat.org/oclc/41916096","WorldCat Record")</f>
        <v/>
      </c>
      <c r="AU36" t="inlineStr">
        <is>
          <t>26904073:eng</t>
        </is>
      </c>
      <c r="AV36" t="inlineStr">
        <is>
          <t>41916096</t>
        </is>
      </c>
      <c r="AW36" t="inlineStr">
        <is>
          <t>991003037589702656</t>
        </is>
      </c>
      <c r="AX36" t="inlineStr">
        <is>
          <t>991003037589702656</t>
        </is>
      </c>
      <c r="AY36" t="inlineStr">
        <is>
          <t>2257918120002656</t>
        </is>
      </c>
      <c r="AZ36" t="inlineStr">
        <is>
          <t>BOOK</t>
        </is>
      </c>
      <c r="BB36" t="inlineStr">
        <is>
          <t>9781558332249</t>
        </is>
      </c>
      <c r="BC36" t="inlineStr">
        <is>
          <t>32285003579769</t>
        </is>
      </c>
      <c r="BD36" t="inlineStr">
        <is>
          <t>893323692</t>
        </is>
      </c>
    </row>
    <row r="37">
      <c r="A37" t="inlineStr">
        <is>
          <t>No</t>
        </is>
      </c>
      <c r="B37" t="inlineStr">
        <is>
          <t>BV1471.2 .F66 2000</t>
        </is>
      </c>
      <c r="C37" t="inlineStr">
        <is>
          <t>0                      BV 1471200F  66          2000</t>
        </is>
      </c>
      <c r="D37" t="inlineStr">
        <is>
          <t>Forging a better religious education in the third millennium / edited by James Michael Lee.</t>
        </is>
      </c>
      <c r="F37" t="inlineStr">
        <is>
          <t>No</t>
        </is>
      </c>
      <c r="G37" t="inlineStr">
        <is>
          <t>1</t>
        </is>
      </c>
      <c r="H37" t="inlineStr">
        <is>
          <t>No</t>
        </is>
      </c>
      <c r="I37" t="inlineStr">
        <is>
          <t>No</t>
        </is>
      </c>
      <c r="J37" t="inlineStr">
        <is>
          <t>0</t>
        </is>
      </c>
      <c r="L37" t="inlineStr">
        <is>
          <t>Birmingham, AL : Religious Education Press, 2000.</t>
        </is>
      </c>
      <c r="M37" t="inlineStr">
        <is>
          <t>2000</t>
        </is>
      </c>
      <c r="O37" t="inlineStr">
        <is>
          <t>eng</t>
        </is>
      </c>
      <c r="P37" t="inlineStr">
        <is>
          <t>alu</t>
        </is>
      </c>
      <c r="R37" t="inlineStr">
        <is>
          <t xml:space="preserve">BV </t>
        </is>
      </c>
      <c r="S37" t="n">
        <v>6</v>
      </c>
      <c r="T37" t="n">
        <v>6</v>
      </c>
      <c r="U37" t="inlineStr">
        <is>
          <t>2004-07-12</t>
        </is>
      </c>
      <c r="V37" t="inlineStr">
        <is>
          <t>2004-07-12</t>
        </is>
      </c>
      <c r="W37" t="inlineStr">
        <is>
          <t>2000-06-29</t>
        </is>
      </c>
      <c r="X37" t="inlineStr">
        <is>
          <t>2000-06-29</t>
        </is>
      </c>
      <c r="Y37" t="n">
        <v>247</v>
      </c>
      <c r="Z37" t="n">
        <v>218</v>
      </c>
      <c r="AA37" t="n">
        <v>223</v>
      </c>
      <c r="AB37" t="n">
        <v>4</v>
      </c>
      <c r="AC37" t="n">
        <v>4</v>
      </c>
      <c r="AD37" t="n">
        <v>22</v>
      </c>
      <c r="AE37" t="n">
        <v>22</v>
      </c>
      <c r="AF37" t="n">
        <v>9</v>
      </c>
      <c r="AG37" t="n">
        <v>9</v>
      </c>
      <c r="AH37" t="n">
        <v>4</v>
      </c>
      <c r="AI37" t="n">
        <v>4</v>
      </c>
      <c r="AJ37" t="n">
        <v>11</v>
      </c>
      <c r="AK37" t="n">
        <v>11</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HYPERLINK("https://creighton-primo.hosted.exlibrisgroup.com/primo-explore/search?tab=default_tab&amp;search_scope=EVERYTHING&amp;vid=01CRU&amp;lang=en_US&amp;offset=0&amp;query=any,contains,991003195909702656","Catalog Record")</f>
        <v/>
      </c>
      <c r="AT37">
        <f>HYPERLINK("http://www.worldcat.org/oclc/43607316","WorldCat Record")</f>
        <v/>
      </c>
      <c r="AU37" t="inlineStr">
        <is>
          <t>1810409745:eng</t>
        </is>
      </c>
      <c r="AV37" t="inlineStr">
        <is>
          <t>43607316</t>
        </is>
      </c>
      <c r="AW37" t="inlineStr">
        <is>
          <t>991003195909702656</t>
        </is>
      </c>
      <c r="AX37" t="inlineStr">
        <is>
          <t>991003195909702656</t>
        </is>
      </c>
      <c r="AY37" t="inlineStr">
        <is>
          <t>2261320230002656</t>
        </is>
      </c>
      <c r="AZ37" t="inlineStr">
        <is>
          <t>BOOK</t>
        </is>
      </c>
      <c r="BB37" t="inlineStr">
        <is>
          <t>9780891351139</t>
        </is>
      </c>
      <c r="BC37" t="inlineStr">
        <is>
          <t>32285003713202</t>
        </is>
      </c>
      <c r="BD37" t="inlineStr">
        <is>
          <t>893441007</t>
        </is>
      </c>
    </row>
    <row r="38">
      <c r="A38" t="inlineStr">
        <is>
          <t>No</t>
        </is>
      </c>
      <c r="B38" t="inlineStr">
        <is>
          <t>BV1471.2 .F67</t>
        </is>
      </c>
      <c r="C38" t="inlineStr">
        <is>
          <t>0                      BV 1471200F  67</t>
        </is>
      </c>
      <c r="D38" t="inlineStr">
        <is>
          <t>Christian education where the learning is / [by] Virgil E. Foster.</t>
        </is>
      </c>
      <c r="F38" t="inlineStr">
        <is>
          <t>No</t>
        </is>
      </c>
      <c r="G38" t="inlineStr">
        <is>
          <t>1</t>
        </is>
      </c>
      <c r="H38" t="inlineStr">
        <is>
          <t>No</t>
        </is>
      </c>
      <c r="I38" t="inlineStr">
        <is>
          <t>No</t>
        </is>
      </c>
      <c r="J38" t="inlineStr">
        <is>
          <t>0</t>
        </is>
      </c>
      <c r="K38" t="inlineStr">
        <is>
          <t>Foster, Virgil E.</t>
        </is>
      </c>
      <c r="L38" t="inlineStr">
        <is>
          <t>Englewood Cliffs, N.J., Prentice-Hall [1968]</t>
        </is>
      </c>
      <c r="M38" t="inlineStr">
        <is>
          <t>1968</t>
        </is>
      </c>
      <c r="O38" t="inlineStr">
        <is>
          <t>eng</t>
        </is>
      </c>
      <c r="P38" t="inlineStr">
        <is>
          <t>nju</t>
        </is>
      </c>
      <c r="R38" t="inlineStr">
        <is>
          <t xml:space="preserve">BV </t>
        </is>
      </c>
      <c r="S38" t="n">
        <v>1</v>
      </c>
      <c r="T38" t="n">
        <v>1</v>
      </c>
      <c r="U38" t="inlineStr">
        <is>
          <t>1998-12-05</t>
        </is>
      </c>
      <c r="V38" t="inlineStr">
        <is>
          <t>1998-12-05</t>
        </is>
      </c>
      <c r="W38" t="inlineStr">
        <is>
          <t>1992-01-28</t>
        </is>
      </c>
      <c r="X38" t="inlineStr">
        <is>
          <t>1992-01-28</t>
        </is>
      </c>
      <c r="Y38" t="n">
        <v>269</v>
      </c>
      <c r="Z38" t="n">
        <v>237</v>
      </c>
      <c r="AA38" t="n">
        <v>237</v>
      </c>
      <c r="AB38" t="n">
        <v>3</v>
      </c>
      <c r="AC38" t="n">
        <v>3</v>
      </c>
      <c r="AD38" t="n">
        <v>13</v>
      </c>
      <c r="AE38" t="n">
        <v>13</v>
      </c>
      <c r="AF38" t="n">
        <v>6</v>
      </c>
      <c r="AG38" t="n">
        <v>6</v>
      </c>
      <c r="AH38" t="n">
        <v>1</v>
      </c>
      <c r="AI38" t="n">
        <v>1</v>
      </c>
      <c r="AJ38" t="n">
        <v>5</v>
      </c>
      <c r="AK38" t="n">
        <v>5</v>
      </c>
      <c r="AL38" t="n">
        <v>2</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HYPERLINK("https://creighton-primo.hosted.exlibrisgroup.com/primo-explore/search?tab=default_tab&amp;search_scope=EVERYTHING&amp;vid=01CRU&amp;lang=en_US&amp;offset=0&amp;query=any,contains,991002645999702656","Catalog Record")</f>
        <v/>
      </c>
      <c r="AT38">
        <f>HYPERLINK("http://www.worldcat.org/oclc/385826","WorldCat Record")</f>
        <v/>
      </c>
      <c r="AU38" t="inlineStr">
        <is>
          <t>4066038073:eng</t>
        </is>
      </c>
      <c r="AV38" t="inlineStr">
        <is>
          <t>385826</t>
        </is>
      </c>
      <c r="AW38" t="inlineStr">
        <is>
          <t>991002645999702656</t>
        </is>
      </c>
      <c r="AX38" t="inlineStr">
        <is>
          <t>991002645999702656</t>
        </is>
      </c>
      <c r="AY38" t="inlineStr">
        <is>
          <t>2259138080002656</t>
        </is>
      </c>
      <c r="AZ38" t="inlineStr">
        <is>
          <t>BOOK</t>
        </is>
      </c>
      <c r="BC38" t="inlineStr">
        <is>
          <t>32285000926245</t>
        </is>
      </c>
      <c r="BD38" t="inlineStr">
        <is>
          <t>893886529</t>
        </is>
      </c>
    </row>
    <row r="39">
      <c r="A39" t="inlineStr">
        <is>
          <t>No</t>
        </is>
      </c>
      <c r="B39" t="inlineStr">
        <is>
          <t>BV1471.2 .G687 1980</t>
        </is>
      </c>
      <c r="C39" t="inlineStr">
        <is>
          <t>0                      BV 1471200G  687         1980</t>
        </is>
      </c>
      <c r="D39" t="inlineStr">
        <is>
          <t>Christian religious education : sharing our story and vision / Thomas H. Groome.</t>
        </is>
      </c>
      <c r="F39" t="inlineStr">
        <is>
          <t>No</t>
        </is>
      </c>
      <c r="G39" t="inlineStr">
        <is>
          <t>1</t>
        </is>
      </c>
      <c r="H39" t="inlineStr">
        <is>
          <t>No</t>
        </is>
      </c>
      <c r="I39" t="inlineStr">
        <is>
          <t>Yes</t>
        </is>
      </c>
      <c r="J39" t="inlineStr">
        <is>
          <t>0</t>
        </is>
      </c>
      <c r="K39" t="inlineStr">
        <is>
          <t>Groome, Thomas H.</t>
        </is>
      </c>
      <c r="L39" t="inlineStr">
        <is>
          <t>San Francisco : Harper &amp; Row, c1980.</t>
        </is>
      </c>
      <c r="M39" t="inlineStr">
        <is>
          <t>1980</t>
        </is>
      </c>
      <c r="N39" t="inlineStr">
        <is>
          <t>1st ed.</t>
        </is>
      </c>
      <c r="O39" t="inlineStr">
        <is>
          <t>eng</t>
        </is>
      </c>
      <c r="P39" t="inlineStr">
        <is>
          <t>cau</t>
        </is>
      </c>
      <c r="R39" t="inlineStr">
        <is>
          <t xml:space="preserve">BV </t>
        </is>
      </c>
      <c r="S39" t="n">
        <v>6</v>
      </c>
      <c r="T39" t="n">
        <v>6</v>
      </c>
      <c r="U39" t="inlineStr">
        <is>
          <t>2002-07-17</t>
        </is>
      </c>
      <c r="V39" t="inlineStr">
        <is>
          <t>2002-07-17</t>
        </is>
      </c>
      <c r="W39" t="inlineStr">
        <is>
          <t>1992-01-28</t>
        </is>
      </c>
      <c r="X39" t="inlineStr">
        <is>
          <t>1992-01-28</t>
        </is>
      </c>
      <c r="Y39" t="n">
        <v>525</v>
      </c>
      <c r="Z39" t="n">
        <v>419</v>
      </c>
      <c r="AA39" t="n">
        <v>569</v>
      </c>
      <c r="AB39" t="n">
        <v>6</v>
      </c>
      <c r="AC39" t="n">
        <v>7</v>
      </c>
      <c r="AD39" t="n">
        <v>31</v>
      </c>
      <c r="AE39" t="n">
        <v>40</v>
      </c>
      <c r="AF39" t="n">
        <v>13</v>
      </c>
      <c r="AG39" t="n">
        <v>17</v>
      </c>
      <c r="AH39" t="n">
        <v>6</v>
      </c>
      <c r="AI39" t="n">
        <v>8</v>
      </c>
      <c r="AJ39" t="n">
        <v>20</v>
      </c>
      <c r="AK39" t="n">
        <v>23</v>
      </c>
      <c r="AL39" t="n">
        <v>4</v>
      </c>
      <c r="AM39" t="n">
        <v>5</v>
      </c>
      <c r="AN39" t="n">
        <v>0</v>
      </c>
      <c r="AO39" t="n">
        <v>0</v>
      </c>
      <c r="AP39" t="inlineStr">
        <is>
          <t>No</t>
        </is>
      </c>
      <c r="AQ39" t="inlineStr">
        <is>
          <t>No</t>
        </is>
      </c>
      <c r="AS39">
        <f>HYPERLINK("https://creighton-primo.hosted.exlibrisgroup.com/primo-explore/search?tab=default_tab&amp;search_scope=EVERYTHING&amp;vid=01CRU&amp;lang=en_US&amp;offset=0&amp;query=any,contains,991004957039702656","Catalog Record")</f>
        <v/>
      </c>
      <c r="AT39">
        <f>HYPERLINK("http://www.worldcat.org/oclc/6280604","WorldCat Record")</f>
        <v/>
      </c>
      <c r="AU39" t="inlineStr">
        <is>
          <t>403741:eng</t>
        </is>
      </c>
      <c r="AV39" t="inlineStr">
        <is>
          <t>6280604</t>
        </is>
      </c>
      <c r="AW39" t="inlineStr">
        <is>
          <t>991004957039702656</t>
        </is>
      </c>
      <c r="AX39" t="inlineStr">
        <is>
          <t>991004957039702656</t>
        </is>
      </c>
      <c r="AY39" t="inlineStr">
        <is>
          <t>2256094750002656</t>
        </is>
      </c>
      <c r="AZ39" t="inlineStr">
        <is>
          <t>BOOK</t>
        </is>
      </c>
      <c r="BB39" t="inlineStr">
        <is>
          <t>9780060634919</t>
        </is>
      </c>
      <c r="BC39" t="inlineStr">
        <is>
          <t>32285000926252</t>
        </is>
      </c>
      <c r="BD39" t="inlineStr">
        <is>
          <t>893594290</t>
        </is>
      </c>
    </row>
    <row r="40">
      <c r="A40" t="inlineStr">
        <is>
          <t>No</t>
        </is>
      </c>
      <c r="B40" t="inlineStr">
        <is>
          <t>BV1471.2 .H3313 1971</t>
        </is>
      </c>
      <c r="C40" t="inlineStr">
        <is>
          <t>0                      BV 1471200H  3313        1971</t>
        </is>
      </c>
      <c r="D40" t="inlineStr">
        <is>
          <t>Theory of catechetics : language and experience in religious education / [by] Hubert Halbfas.</t>
        </is>
      </c>
      <c r="F40" t="inlineStr">
        <is>
          <t>No</t>
        </is>
      </c>
      <c r="G40" t="inlineStr">
        <is>
          <t>1</t>
        </is>
      </c>
      <c r="H40" t="inlineStr">
        <is>
          <t>No</t>
        </is>
      </c>
      <c r="I40" t="inlineStr">
        <is>
          <t>No</t>
        </is>
      </c>
      <c r="J40" t="inlineStr">
        <is>
          <t>0</t>
        </is>
      </c>
      <c r="K40" t="inlineStr">
        <is>
          <t>Halbfas, Hubertus.</t>
        </is>
      </c>
      <c r="L40" t="inlineStr">
        <is>
          <t>[New York] : Herder and Herder, [1971]</t>
        </is>
      </c>
      <c r="M40" t="inlineStr">
        <is>
          <t>1971</t>
        </is>
      </c>
      <c r="O40" t="inlineStr">
        <is>
          <t>eng</t>
        </is>
      </c>
      <c r="P40" t="inlineStr">
        <is>
          <t>nyu</t>
        </is>
      </c>
      <c r="R40" t="inlineStr">
        <is>
          <t xml:space="preserve">BV </t>
        </is>
      </c>
      <c r="S40" t="n">
        <v>1</v>
      </c>
      <c r="T40" t="n">
        <v>1</v>
      </c>
      <c r="U40" t="inlineStr">
        <is>
          <t>2002-07-17</t>
        </is>
      </c>
      <c r="V40" t="inlineStr">
        <is>
          <t>2002-07-17</t>
        </is>
      </c>
      <c r="W40" t="inlineStr">
        <is>
          <t>1992-01-28</t>
        </is>
      </c>
      <c r="X40" t="inlineStr">
        <is>
          <t>1992-01-28</t>
        </is>
      </c>
      <c r="Y40" t="n">
        <v>204</v>
      </c>
      <c r="Z40" t="n">
        <v>174</v>
      </c>
      <c r="AA40" t="n">
        <v>180</v>
      </c>
      <c r="AB40" t="n">
        <v>3</v>
      </c>
      <c r="AC40" t="n">
        <v>3</v>
      </c>
      <c r="AD40" t="n">
        <v>22</v>
      </c>
      <c r="AE40" t="n">
        <v>22</v>
      </c>
      <c r="AF40" t="n">
        <v>7</v>
      </c>
      <c r="AG40" t="n">
        <v>7</v>
      </c>
      <c r="AH40" t="n">
        <v>5</v>
      </c>
      <c r="AI40" t="n">
        <v>5</v>
      </c>
      <c r="AJ40" t="n">
        <v>17</v>
      </c>
      <c r="AK40" t="n">
        <v>17</v>
      </c>
      <c r="AL40" t="n">
        <v>2</v>
      </c>
      <c r="AM40" t="n">
        <v>2</v>
      </c>
      <c r="AN40" t="n">
        <v>0</v>
      </c>
      <c r="AO40" t="n">
        <v>0</v>
      </c>
      <c r="AP40" t="inlineStr">
        <is>
          <t>No</t>
        </is>
      </c>
      <c r="AQ40" t="inlineStr">
        <is>
          <t>Yes</t>
        </is>
      </c>
      <c r="AR40">
        <f>HYPERLINK("http://catalog.hathitrust.org/Record/001413641","HathiTrust Record")</f>
        <v/>
      </c>
      <c r="AS40">
        <f>HYPERLINK("https://creighton-primo.hosted.exlibrisgroup.com/primo-explore/search?tab=default_tab&amp;search_scope=EVERYTHING&amp;vid=01CRU&amp;lang=en_US&amp;offset=0&amp;query=any,contains,991000812719702656","Catalog Record")</f>
        <v/>
      </c>
      <c r="AT40">
        <f>HYPERLINK("http://www.worldcat.org/oclc/141102","WorldCat Record")</f>
        <v/>
      </c>
      <c r="AU40" t="inlineStr">
        <is>
          <t>3901132885:eng</t>
        </is>
      </c>
      <c r="AV40" t="inlineStr">
        <is>
          <t>141102</t>
        </is>
      </c>
      <c r="AW40" t="inlineStr">
        <is>
          <t>991000812719702656</t>
        </is>
      </c>
      <c r="AX40" t="inlineStr">
        <is>
          <t>991000812719702656</t>
        </is>
      </c>
      <c r="AY40" t="inlineStr">
        <is>
          <t>2256009300002656</t>
        </is>
      </c>
      <c r="AZ40" t="inlineStr">
        <is>
          <t>BOOK</t>
        </is>
      </c>
      <c r="BC40" t="inlineStr">
        <is>
          <t>32285000926260</t>
        </is>
      </c>
      <c r="BD40" t="inlineStr">
        <is>
          <t>893255760</t>
        </is>
      </c>
    </row>
    <row r="41">
      <c r="A41" t="inlineStr">
        <is>
          <t>No</t>
        </is>
      </c>
      <c r="B41" t="inlineStr">
        <is>
          <t>BV1471.2 .K44</t>
        </is>
      </c>
      <c r="C41" t="inlineStr">
        <is>
          <t>0                      BV 1471200K  44</t>
        </is>
      </c>
      <c r="D41" t="inlineStr">
        <is>
          <t>Can Christians be educated? : A proposal for effective communication of our Christian religion / Morton Kelsey ; compiled and edited by Harold William Burgess.</t>
        </is>
      </c>
      <c r="F41" t="inlineStr">
        <is>
          <t>No</t>
        </is>
      </c>
      <c r="G41" t="inlineStr">
        <is>
          <t>1</t>
        </is>
      </c>
      <c r="H41" t="inlineStr">
        <is>
          <t>No</t>
        </is>
      </c>
      <c r="I41" t="inlineStr">
        <is>
          <t>No</t>
        </is>
      </c>
      <c r="J41" t="inlineStr">
        <is>
          <t>0</t>
        </is>
      </c>
      <c r="K41" t="inlineStr">
        <is>
          <t>Kelsey, Morton T.</t>
        </is>
      </c>
      <c r="L41" t="inlineStr">
        <is>
          <t>Mishawaka, Ind. : Religious Education Press, c1977.</t>
        </is>
      </c>
      <c r="M41" t="inlineStr">
        <is>
          <t>1977</t>
        </is>
      </c>
      <c r="O41" t="inlineStr">
        <is>
          <t>eng</t>
        </is>
      </c>
      <c r="P41" t="inlineStr">
        <is>
          <t>inu</t>
        </is>
      </c>
      <c r="R41" t="inlineStr">
        <is>
          <t xml:space="preserve">BV </t>
        </is>
      </c>
      <c r="S41" t="n">
        <v>2</v>
      </c>
      <c r="T41" t="n">
        <v>2</v>
      </c>
      <c r="U41" t="inlineStr">
        <is>
          <t>2007-10-17</t>
        </is>
      </c>
      <c r="V41" t="inlineStr">
        <is>
          <t>2007-10-17</t>
        </is>
      </c>
      <c r="W41" t="inlineStr">
        <is>
          <t>1993-10-29</t>
        </is>
      </c>
      <c r="X41" t="inlineStr">
        <is>
          <t>1993-10-29</t>
        </is>
      </c>
      <c r="Y41" t="n">
        <v>343</v>
      </c>
      <c r="Z41" t="n">
        <v>279</v>
      </c>
      <c r="AA41" t="n">
        <v>279</v>
      </c>
      <c r="AB41" t="n">
        <v>2</v>
      </c>
      <c r="AC41" t="n">
        <v>2</v>
      </c>
      <c r="AD41" t="n">
        <v>21</v>
      </c>
      <c r="AE41" t="n">
        <v>21</v>
      </c>
      <c r="AF41" t="n">
        <v>8</v>
      </c>
      <c r="AG41" t="n">
        <v>8</v>
      </c>
      <c r="AH41" t="n">
        <v>5</v>
      </c>
      <c r="AI41" t="n">
        <v>5</v>
      </c>
      <c r="AJ41" t="n">
        <v>13</v>
      </c>
      <c r="AK41" t="n">
        <v>13</v>
      </c>
      <c r="AL41" t="n">
        <v>1</v>
      </c>
      <c r="AM41" t="n">
        <v>1</v>
      </c>
      <c r="AN41" t="n">
        <v>0</v>
      </c>
      <c r="AO41" t="n">
        <v>0</v>
      </c>
      <c r="AP41" t="inlineStr">
        <is>
          <t>No</t>
        </is>
      </c>
      <c r="AQ41" t="inlineStr">
        <is>
          <t>No</t>
        </is>
      </c>
      <c r="AS41">
        <f>HYPERLINK("https://creighton-primo.hosted.exlibrisgroup.com/primo-explore/search?tab=default_tab&amp;search_scope=EVERYTHING&amp;vid=01CRU&amp;lang=en_US&amp;offset=0&amp;query=any,contains,991004259079702656","Catalog Record")</f>
        <v/>
      </c>
      <c r="AT41">
        <f>HYPERLINK("http://www.worldcat.org/oclc/2836976","WorldCat Record")</f>
        <v/>
      </c>
      <c r="AU41" t="inlineStr">
        <is>
          <t>481076899:eng</t>
        </is>
      </c>
      <c r="AV41" t="inlineStr">
        <is>
          <t>2836976</t>
        </is>
      </c>
      <c r="AW41" t="inlineStr">
        <is>
          <t>991004259079702656</t>
        </is>
      </c>
      <c r="AX41" t="inlineStr">
        <is>
          <t>991004259079702656</t>
        </is>
      </c>
      <c r="AY41" t="inlineStr">
        <is>
          <t>2262232080002656</t>
        </is>
      </c>
      <c r="AZ41" t="inlineStr">
        <is>
          <t>BOOK</t>
        </is>
      </c>
      <c r="BB41" t="inlineStr">
        <is>
          <t>9780891350088</t>
        </is>
      </c>
      <c r="BC41" t="inlineStr">
        <is>
          <t>32285001795748</t>
        </is>
      </c>
      <c r="BD41" t="inlineStr">
        <is>
          <t>893706165</t>
        </is>
      </c>
    </row>
    <row r="42">
      <c r="A42" t="inlineStr">
        <is>
          <t>No</t>
        </is>
      </c>
      <c r="B42" t="inlineStr">
        <is>
          <t>BV1471.2 .L4418 1985</t>
        </is>
      </c>
      <c r="C42" t="inlineStr">
        <is>
          <t>0                      BV 1471200L  4418        1985</t>
        </is>
      </c>
      <c r="D42" t="inlineStr">
        <is>
          <t>The content of religious instruction : a social science approach / James Michael Lee.</t>
        </is>
      </c>
      <c r="F42" t="inlineStr">
        <is>
          <t>No</t>
        </is>
      </c>
      <c r="G42" t="inlineStr">
        <is>
          <t>1</t>
        </is>
      </c>
      <c r="H42" t="inlineStr">
        <is>
          <t>No</t>
        </is>
      </c>
      <c r="I42" t="inlineStr">
        <is>
          <t>No</t>
        </is>
      </c>
      <c r="J42" t="inlineStr">
        <is>
          <t>0</t>
        </is>
      </c>
      <c r="K42" t="inlineStr">
        <is>
          <t>Lee, James Michael.</t>
        </is>
      </c>
      <c r="L42" t="inlineStr">
        <is>
          <t>Birmingham, Ala. : Religious Education Press, 1985.</t>
        </is>
      </c>
      <c r="M42" t="inlineStr">
        <is>
          <t>1984</t>
        </is>
      </c>
      <c r="O42" t="inlineStr">
        <is>
          <t>eng</t>
        </is>
      </c>
      <c r="P42" t="inlineStr">
        <is>
          <t>alu</t>
        </is>
      </c>
      <c r="R42" t="inlineStr">
        <is>
          <t xml:space="preserve">BV </t>
        </is>
      </c>
      <c r="S42" t="n">
        <v>4</v>
      </c>
      <c r="T42" t="n">
        <v>4</v>
      </c>
      <c r="U42" t="inlineStr">
        <is>
          <t>2007-04-24</t>
        </is>
      </c>
      <c r="V42" t="inlineStr">
        <is>
          <t>2007-04-24</t>
        </is>
      </c>
      <c r="W42" t="inlineStr">
        <is>
          <t>1992-01-28</t>
        </is>
      </c>
      <c r="X42" t="inlineStr">
        <is>
          <t>1992-01-28</t>
        </is>
      </c>
      <c r="Y42" t="n">
        <v>384</v>
      </c>
      <c r="Z42" t="n">
        <v>314</v>
      </c>
      <c r="AA42" t="n">
        <v>324</v>
      </c>
      <c r="AB42" t="n">
        <v>4</v>
      </c>
      <c r="AC42" t="n">
        <v>4</v>
      </c>
      <c r="AD42" t="n">
        <v>24</v>
      </c>
      <c r="AE42" t="n">
        <v>25</v>
      </c>
      <c r="AF42" t="n">
        <v>10</v>
      </c>
      <c r="AG42" t="n">
        <v>11</v>
      </c>
      <c r="AH42" t="n">
        <v>4</v>
      </c>
      <c r="AI42" t="n">
        <v>4</v>
      </c>
      <c r="AJ42" t="n">
        <v>14</v>
      </c>
      <c r="AK42" t="n">
        <v>14</v>
      </c>
      <c r="AL42" t="n">
        <v>2</v>
      </c>
      <c r="AM42" t="n">
        <v>2</v>
      </c>
      <c r="AN42" t="n">
        <v>0</v>
      </c>
      <c r="AO42" t="n">
        <v>0</v>
      </c>
      <c r="AP42" t="inlineStr">
        <is>
          <t>No</t>
        </is>
      </c>
      <c r="AQ42" t="inlineStr">
        <is>
          <t>No</t>
        </is>
      </c>
      <c r="AS42">
        <f>HYPERLINK("https://creighton-primo.hosted.exlibrisgroup.com/primo-explore/search?tab=default_tab&amp;search_scope=EVERYTHING&amp;vid=01CRU&amp;lang=en_US&amp;offset=0&amp;query=any,contains,991000509559702656","Catalog Record")</f>
        <v/>
      </c>
      <c r="AT42">
        <f>HYPERLINK("http://www.worldcat.org/oclc/11234574","WorldCat Record")</f>
        <v/>
      </c>
      <c r="AU42" t="inlineStr">
        <is>
          <t>1090903602:eng</t>
        </is>
      </c>
      <c r="AV42" t="inlineStr">
        <is>
          <t>11234574</t>
        </is>
      </c>
      <c r="AW42" t="inlineStr">
        <is>
          <t>991000509559702656</t>
        </is>
      </c>
      <c r="AX42" t="inlineStr">
        <is>
          <t>991000509559702656</t>
        </is>
      </c>
      <c r="AY42" t="inlineStr">
        <is>
          <t>2257761740002656</t>
        </is>
      </c>
      <c r="AZ42" t="inlineStr">
        <is>
          <t>BOOK</t>
        </is>
      </c>
      <c r="BB42" t="inlineStr">
        <is>
          <t>9780891350507</t>
        </is>
      </c>
      <c r="BC42" t="inlineStr">
        <is>
          <t>32285000926286</t>
        </is>
      </c>
      <c r="BD42" t="inlineStr">
        <is>
          <t>893496291</t>
        </is>
      </c>
    </row>
    <row r="43">
      <c r="A43" t="inlineStr">
        <is>
          <t>No</t>
        </is>
      </c>
      <c r="B43" t="inlineStr">
        <is>
          <t>BV1471.2 .L442 1973b</t>
        </is>
      </c>
      <c r="C43" t="inlineStr">
        <is>
          <t>0                      BV 1471200L  442         1973b</t>
        </is>
      </c>
      <c r="D43" t="inlineStr">
        <is>
          <t>The flow of religious instruction : a social science approach / James Michael Lee. --</t>
        </is>
      </c>
      <c r="F43" t="inlineStr">
        <is>
          <t>No</t>
        </is>
      </c>
      <c r="G43" t="inlineStr">
        <is>
          <t>1</t>
        </is>
      </c>
      <c r="H43" t="inlineStr">
        <is>
          <t>No</t>
        </is>
      </c>
      <c r="I43" t="inlineStr">
        <is>
          <t>No</t>
        </is>
      </c>
      <c r="J43" t="inlineStr">
        <is>
          <t>0</t>
        </is>
      </c>
      <c r="K43" t="inlineStr">
        <is>
          <t>Lee, James Michael.</t>
        </is>
      </c>
      <c r="L43" t="inlineStr">
        <is>
          <t>Mishawaka, Ind. : Religious Education Press, [1975] c1973.</t>
        </is>
      </c>
      <c r="M43" t="inlineStr">
        <is>
          <t>1975</t>
        </is>
      </c>
      <c r="O43" t="inlineStr">
        <is>
          <t>eng</t>
        </is>
      </c>
      <c r="P43" t="inlineStr">
        <is>
          <t>inu</t>
        </is>
      </c>
      <c r="R43" t="inlineStr">
        <is>
          <t xml:space="preserve">BV </t>
        </is>
      </c>
      <c r="S43" t="n">
        <v>1</v>
      </c>
      <c r="T43" t="n">
        <v>1</v>
      </c>
      <c r="U43" t="inlineStr">
        <is>
          <t>2007-04-24</t>
        </is>
      </c>
      <c r="V43" t="inlineStr">
        <is>
          <t>2007-04-24</t>
        </is>
      </c>
      <c r="W43" t="inlineStr">
        <is>
          <t>1992-01-28</t>
        </is>
      </c>
      <c r="X43" t="inlineStr">
        <is>
          <t>1992-01-28</t>
        </is>
      </c>
      <c r="Y43" t="n">
        <v>207</v>
      </c>
      <c r="Z43" t="n">
        <v>177</v>
      </c>
      <c r="AA43" t="n">
        <v>377</v>
      </c>
      <c r="AB43" t="n">
        <v>1</v>
      </c>
      <c r="AC43" t="n">
        <v>2</v>
      </c>
      <c r="AD43" t="n">
        <v>10</v>
      </c>
      <c r="AE43" t="n">
        <v>30</v>
      </c>
      <c r="AF43" t="n">
        <v>6</v>
      </c>
      <c r="AG43" t="n">
        <v>13</v>
      </c>
      <c r="AH43" t="n">
        <v>2</v>
      </c>
      <c r="AI43" t="n">
        <v>7</v>
      </c>
      <c r="AJ43" t="n">
        <v>5</v>
      </c>
      <c r="AK43" t="n">
        <v>19</v>
      </c>
      <c r="AL43" t="n">
        <v>0</v>
      </c>
      <c r="AM43" t="n">
        <v>1</v>
      </c>
      <c r="AN43" t="n">
        <v>0</v>
      </c>
      <c r="AO43" t="n">
        <v>0</v>
      </c>
      <c r="AP43" t="inlineStr">
        <is>
          <t>No</t>
        </is>
      </c>
      <c r="AQ43" t="inlineStr">
        <is>
          <t>No</t>
        </is>
      </c>
      <c r="AS43">
        <f>HYPERLINK("https://creighton-primo.hosted.exlibrisgroup.com/primo-explore/search?tab=default_tab&amp;search_scope=EVERYTHING&amp;vid=01CRU&amp;lang=en_US&amp;offset=0&amp;query=any,contains,991004036429702656","Catalog Record")</f>
        <v/>
      </c>
      <c r="AT43">
        <f>HYPERLINK("http://www.worldcat.org/oclc/2171961","WorldCat Record")</f>
        <v/>
      </c>
      <c r="AU43" t="inlineStr">
        <is>
          <t>1650410:eng</t>
        </is>
      </c>
      <c r="AV43" t="inlineStr">
        <is>
          <t>2171961</t>
        </is>
      </c>
      <c r="AW43" t="inlineStr">
        <is>
          <t>991004036429702656</t>
        </is>
      </c>
      <c r="AX43" t="inlineStr">
        <is>
          <t>991004036429702656</t>
        </is>
      </c>
      <c r="AY43" t="inlineStr">
        <is>
          <t>2263975070002656</t>
        </is>
      </c>
      <c r="AZ43" t="inlineStr">
        <is>
          <t>BOOK</t>
        </is>
      </c>
      <c r="BB43" t="inlineStr">
        <is>
          <t>9780891350019</t>
        </is>
      </c>
      <c r="BC43" t="inlineStr">
        <is>
          <t>32285000926294</t>
        </is>
      </c>
      <c r="BD43" t="inlineStr">
        <is>
          <t>893512722</t>
        </is>
      </c>
    </row>
    <row r="44">
      <c r="A44" t="inlineStr">
        <is>
          <t>No</t>
        </is>
      </c>
      <c r="B44" t="inlineStr">
        <is>
          <t>BV1471.2 .L443 1971b</t>
        </is>
      </c>
      <c r="C44" t="inlineStr">
        <is>
          <t>0                      BV 1471200L  443         1971b</t>
        </is>
      </c>
      <c r="D44" t="inlineStr">
        <is>
          <t>The shape of religious instruction : a social science approach / James Michael Lee. --</t>
        </is>
      </c>
      <c r="F44" t="inlineStr">
        <is>
          <t>No</t>
        </is>
      </c>
      <c r="G44" t="inlineStr">
        <is>
          <t>1</t>
        </is>
      </c>
      <c r="H44" t="inlineStr">
        <is>
          <t>No</t>
        </is>
      </c>
      <c r="I44" t="inlineStr">
        <is>
          <t>No</t>
        </is>
      </c>
      <c r="J44" t="inlineStr">
        <is>
          <t>0</t>
        </is>
      </c>
      <c r="K44" t="inlineStr">
        <is>
          <t>Lee, James Michael.</t>
        </is>
      </c>
      <c r="L44" t="inlineStr">
        <is>
          <t>Mishawaka, Ind. : Religious Education Press, c1971.</t>
        </is>
      </c>
      <c r="M44" t="inlineStr">
        <is>
          <t>1971</t>
        </is>
      </c>
      <c r="O44" t="inlineStr">
        <is>
          <t>eng</t>
        </is>
      </c>
      <c r="P44" t="inlineStr">
        <is>
          <t>inu</t>
        </is>
      </c>
      <c r="R44" t="inlineStr">
        <is>
          <t xml:space="preserve">BV </t>
        </is>
      </c>
      <c r="S44" t="n">
        <v>1</v>
      </c>
      <c r="T44" t="n">
        <v>1</v>
      </c>
      <c r="U44" t="inlineStr">
        <is>
          <t>2007-04-24</t>
        </is>
      </c>
      <c r="V44" t="inlineStr">
        <is>
          <t>2007-04-24</t>
        </is>
      </c>
      <c r="W44" t="inlineStr">
        <is>
          <t>1992-01-28</t>
        </is>
      </c>
      <c r="X44" t="inlineStr">
        <is>
          <t>1992-01-28</t>
        </is>
      </c>
      <c r="Y44" t="n">
        <v>267</v>
      </c>
      <c r="Z44" t="n">
        <v>198</v>
      </c>
      <c r="AA44" t="n">
        <v>373</v>
      </c>
      <c r="AB44" t="n">
        <v>2</v>
      </c>
      <c r="AC44" t="n">
        <v>3</v>
      </c>
      <c r="AD44" t="n">
        <v>10</v>
      </c>
      <c r="AE44" t="n">
        <v>30</v>
      </c>
      <c r="AF44" t="n">
        <v>5</v>
      </c>
      <c r="AG44" t="n">
        <v>11</v>
      </c>
      <c r="AH44" t="n">
        <v>1</v>
      </c>
      <c r="AI44" t="n">
        <v>7</v>
      </c>
      <c r="AJ44" t="n">
        <v>5</v>
      </c>
      <c r="AK44" t="n">
        <v>18</v>
      </c>
      <c r="AL44" t="n">
        <v>0</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HYPERLINK("https://creighton-primo.hosted.exlibrisgroup.com/primo-explore/search?tab=default_tab&amp;search_scope=EVERYTHING&amp;vid=01CRU&amp;lang=en_US&amp;offset=0&amp;query=any,contains,991004039779702656","Catalog Record")</f>
        <v/>
      </c>
      <c r="AT44">
        <f>HYPERLINK("http://www.worldcat.org/oclc/2184797","WorldCat Record")</f>
        <v/>
      </c>
      <c r="AU44" t="inlineStr">
        <is>
          <t>1289772:eng</t>
        </is>
      </c>
      <c r="AV44" t="inlineStr">
        <is>
          <t>2184797</t>
        </is>
      </c>
      <c r="AW44" t="inlineStr">
        <is>
          <t>991004039779702656</t>
        </is>
      </c>
      <c r="AX44" t="inlineStr">
        <is>
          <t>991004039779702656</t>
        </is>
      </c>
      <c r="AY44" t="inlineStr">
        <is>
          <t>2261313020002656</t>
        </is>
      </c>
      <c r="AZ44" t="inlineStr">
        <is>
          <t>BOOK</t>
        </is>
      </c>
      <c r="BB44" t="inlineStr">
        <is>
          <t>9780891350002</t>
        </is>
      </c>
      <c r="BC44" t="inlineStr">
        <is>
          <t>32285000926302</t>
        </is>
      </c>
      <c r="BD44" t="inlineStr">
        <is>
          <t>893343388</t>
        </is>
      </c>
    </row>
    <row r="45">
      <c r="A45" t="inlineStr">
        <is>
          <t>No</t>
        </is>
      </c>
      <c r="B45" t="inlineStr">
        <is>
          <t>BV1471.2 .M347 1973</t>
        </is>
      </c>
      <c r="C45" t="inlineStr">
        <is>
          <t>0                      BV 1471200M  347         1973</t>
        </is>
      </c>
      <c r="D45" t="inlineStr">
        <is>
          <t>Catechetics in context : notes and commentary on the General catechetical directory issued by the Sacred Congregation for the Clergy / by Berard L. Marthaler.</t>
        </is>
      </c>
      <c r="F45" t="inlineStr">
        <is>
          <t>No</t>
        </is>
      </c>
      <c r="G45" t="inlineStr">
        <is>
          <t>1</t>
        </is>
      </c>
      <c r="H45" t="inlineStr">
        <is>
          <t>No</t>
        </is>
      </c>
      <c r="I45" t="inlineStr">
        <is>
          <t>No</t>
        </is>
      </c>
      <c r="J45" t="inlineStr">
        <is>
          <t>0</t>
        </is>
      </c>
      <c r="K45" t="inlineStr">
        <is>
          <t>Marthaler, Berard L.</t>
        </is>
      </c>
      <c r="L45" t="inlineStr">
        <is>
          <t>Huntington, Ind. : Our Sunday Visitor, [1973]</t>
        </is>
      </c>
      <c r="M45" t="inlineStr">
        <is>
          <t>1973</t>
        </is>
      </c>
      <c r="O45" t="inlineStr">
        <is>
          <t>eng</t>
        </is>
      </c>
      <c r="P45" t="inlineStr">
        <is>
          <t>inu</t>
        </is>
      </c>
      <c r="R45" t="inlineStr">
        <is>
          <t xml:space="preserve">BV </t>
        </is>
      </c>
      <c r="S45" t="n">
        <v>3</v>
      </c>
      <c r="T45" t="n">
        <v>3</v>
      </c>
      <c r="U45" t="inlineStr">
        <is>
          <t>1997-12-22</t>
        </is>
      </c>
      <c r="V45" t="inlineStr">
        <is>
          <t>1997-12-22</t>
        </is>
      </c>
      <c r="W45" t="inlineStr">
        <is>
          <t>1990-05-17</t>
        </is>
      </c>
      <c r="X45" t="inlineStr">
        <is>
          <t>1990-05-17</t>
        </is>
      </c>
      <c r="Y45" t="n">
        <v>167</v>
      </c>
      <c r="Z45" t="n">
        <v>141</v>
      </c>
      <c r="AA45" t="n">
        <v>141</v>
      </c>
      <c r="AB45" t="n">
        <v>2</v>
      </c>
      <c r="AC45" t="n">
        <v>2</v>
      </c>
      <c r="AD45" t="n">
        <v>23</v>
      </c>
      <c r="AE45" t="n">
        <v>23</v>
      </c>
      <c r="AF45" t="n">
        <v>7</v>
      </c>
      <c r="AG45" t="n">
        <v>7</v>
      </c>
      <c r="AH45" t="n">
        <v>6</v>
      </c>
      <c r="AI45" t="n">
        <v>6</v>
      </c>
      <c r="AJ45" t="n">
        <v>19</v>
      </c>
      <c r="AK45" t="n">
        <v>19</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HYPERLINK("https://creighton-primo.hosted.exlibrisgroup.com/primo-explore/search?tab=default_tab&amp;search_scope=EVERYTHING&amp;vid=01CRU&amp;lang=en_US&amp;offset=0&amp;query=any,contains,991003055219702656","Catalog Record")</f>
        <v/>
      </c>
      <c r="AT45">
        <f>HYPERLINK("http://www.worldcat.org/oclc/613736","WorldCat Record")</f>
        <v/>
      </c>
      <c r="AU45" t="inlineStr">
        <is>
          <t>366314805:eng</t>
        </is>
      </c>
      <c r="AV45" t="inlineStr">
        <is>
          <t>613736</t>
        </is>
      </c>
      <c r="AW45" t="inlineStr">
        <is>
          <t>991003055219702656</t>
        </is>
      </c>
      <c r="AX45" t="inlineStr">
        <is>
          <t>991003055219702656</t>
        </is>
      </c>
      <c r="AY45" t="inlineStr">
        <is>
          <t>2268336180002656</t>
        </is>
      </c>
      <c r="AZ45" t="inlineStr">
        <is>
          <t>BOOK</t>
        </is>
      </c>
      <c r="BB45" t="inlineStr">
        <is>
          <t>9780879738426</t>
        </is>
      </c>
      <c r="BC45" t="inlineStr">
        <is>
          <t>32285000152347</t>
        </is>
      </c>
      <c r="BD45" t="inlineStr">
        <is>
          <t>893505155</t>
        </is>
      </c>
    </row>
    <row r="46">
      <c r="A46" t="inlineStr">
        <is>
          <t>No</t>
        </is>
      </c>
      <c r="B46" t="inlineStr">
        <is>
          <t>BV1471.2 .M56</t>
        </is>
      </c>
      <c r="C46" t="inlineStr">
        <is>
          <t>0                      BV 1471200M  56</t>
        </is>
      </c>
      <c r="D46" t="inlineStr">
        <is>
          <t>Design for religion : toward ecumenical education / Gabriel Moran.</t>
        </is>
      </c>
      <c r="F46" t="inlineStr">
        <is>
          <t>No</t>
        </is>
      </c>
      <c r="G46" t="inlineStr">
        <is>
          <t>1</t>
        </is>
      </c>
      <c r="H46" t="inlineStr">
        <is>
          <t>No</t>
        </is>
      </c>
      <c r="I46" t="inlineStr">
        <is>
          <t>No</t>
        </is>
      </c>
      <c r="J46" t="inlineStr">
        <is>
          <t>0</t>
        </is>
      </c>
      <c r="K46" t="inlineStr">
        <is>
          <t>Moran, Gabriel.</t>
        </is>
      </c>
      <c r="L46" t="inlineStr">
        <is>
          <t>[New York] Herder and Herder [1970]</t>
        </is>
      </c>
      <c r="M46" t="inlineStr">
        <is>
          <t>1970</t>
        </is>
      </c>
      <c r="O46" t="inlineStr">
        <is>
          <t>eng</t>
        </is>
      </c>
      <c r="P46" t="inlineStr">
        <is>
          <t>nyu</t>
        </is>
      </c>
      <c r="R46" t="inlineStr">
        <is>
          <t xml:space="preserve">BV </t>
        </is>
      </c>
      <c r="S46" t="n">
        <v>4</v>
      </c>
      <c r="T46" t="n">
        <v>4</v>
      </c>
      <c r="U46" t="inlineStr">
        <is>
          <t>1993-10-29</t>
        </is>
      </c>
      <c r="V46" t="inlineStr">
        <is>
          <t>1993-10-29</t>
        </is>
      </c>
      <c r="W46" t="inlineStr">
        <is>
          <t>1992-01-28</t>
        </is>
      </c>
      <c r="X46" t="inlineStr">
        <is>
          <t>1992-01-28</t>
        </is>
      </c>
      <c r="Y46" t="n">
        <v>285</v>
      </c>
      <c r="Z46" t="n">
        <v>245</v>
      </c>
      <c r="AA46" t="n">
        <v>254</v>
      </c>
      <c r="AB46" t="n">
        <v>4</v>
      </c>
      <c r="AC46" t="n">
        <v>4</v>
      </c>
      <c r="AD46" t="n">
        <v>27</v>
      </c>
      <c r="AE46" t="n">
        <v>27</v>
      </c>
      <c r="AF46" t="n">
        <v>8</v>
      </c>
      <c r="AG46" t="n">
        <v>8</v>
      </c>
      <c r="AH46" t="n">
        <v>7</v>
      </c>
      <c r="AI46" t="n">
        <v>7</v>
      </c>
      <c r="AJ46" t="n">
        <v>19</v>
      </c>
      <c r="AK46" t="n">
        <v>19</v>
      </c>
      <c r="AL46" t="n">
        <v>2</v>
      </c>
      <c r="AM46" t="n">
        <v>2</v>
      </c>
      <c r="AN46" t="n">
        <v>0</v>
      </c>
      <c r="AO46" t="n">
        <v>0</v>
      </c>
      <c r="AP46" t="inlineStr">
        <is>
          <t>No</t>
        </is>
      </c>
      <c r="AQ46" t="inlineStr">
        <is>
          <t>Yes</t>
        </is>
      </c>
      <c r="AR46">
        <f>HYPERLINK("http://catalog.hathitrust.org/Record/001413642","HathiTrust Record")</f>
        <v/>
      </c>
      <c r="AS46">
        <f>HYPERLINK("https://creighton-primo.hosted.exlibrisgroup.com/primo-explore/search?tab=default_tab&amp;search_scope=EVERYTHING&amp;vid=01CRU&amp;lang=en_US&amp;offset=0&amp;query=any,contains,991000657309702656","Catalog Record")</f>
        <v/>
      </c>
      <c r="AT46">
        <f>HYPERLINK("http://www.worldcat.org/oclc/116028","WorldCat Record")</f>
        <v/>
      </c>
      <c r="AU46" t="inlineStr">
        <is>
          <t>1233443:eng</t>
        </is>
      </c>
      <c r="AV46" t="inlineStr">
        <is>
          <t>116028</t>
        </is>
      </c>
      <c r="AW46" t="inlineStr">
        <is>
          <t>991000657309702656</t>
        </is>
      </c>
      <c r="AX46" t="inlineStr">
        <is>
          <t>991000657309702656</t>
        </is>
      </c>
      <c r="AY46" t="inlineStr">
        <is>
          <t>2260496360002656</t>
        </is>
      </c>
      <c r="AZ46" t="inlineStr">
        <is>
          <t>BOOK</t>
        </is>
      </c>
      <c r="BC46" t="inlineStr">
        <is>
          <t>32285000926385</t>
        </is>
      </c>
      <c r="BD46" t="inlineStr">
        <is>
          <t>893689908</t>
        </is>
      </c>
    </row>
    <row r="47">
      <c r="A47" t="inlineStr">
        <is>
          <t>No</t>
        </is>
      </c>
      <c r="B47" t="inlineStr">
        <is>
          <t>BV1471.2 .M6</t>
        </is>
      </c>
      <c r="C47" t="inlineStr">
        <is>
          <t>0                      BV 1471200M  6</t>
        </is>
      </c>
      <c r="D47" t="inlineStr">
        <is>
          <t>Creative teaching in the church / [by] Eleanor Shelton Morrison and Virgil E. Foster.</t>
        </is>
      </c>
      <c r="F47" t="inlineStr">
        <is>
          <t>No</t>
        </is>
      </c>
      <c r="G47" t="inlineStr">
        <is>
          <t>1</t>
        </is>
      </c>
      <c r="H47" t="inlineStr">
        <is>
          <t>No</t>
        </is>
      </c>
      <c r="I47" t="inlineStr">
        <is>
          <t>No</t>
        </is>
      </c>
      <c r="J47" t="inlineStr">
        <is>
          <t>0</t>
        </is>
      </c>
      <c r="K47" t="inlineStr">
        <is>
          <t>Morrison, Eleanor Shelton.</t>
        </is>
      </c>
      <c r="L47" t="inlineStr">
        <is>
          <t>Englewood Cliffs, N.J., Prentice-Hall [1963]</t>
        </is>
      </c>
      <c r="M47" t="inlineStr">
        <is>
          <t>1963</t>
        </is>
      </c>
      <c r="O47" t="inlineStr">
        <is>
          <t>eng</t>
        </is>
      </c>
      <c r="P47" t="inlineStr">
        <is>
          <t>nju</t>
        </is>
      </c>
      <c r="R47" t="inlineStr">
        <is>
          <t xml:space="preserve">BV </t>
        </is>
      </c>
      <c r="S47" t="n">
        <v>2</v>
      </c>
      <c r="T47" t="n">
        <v>2</v>
      </c>
      <c r="U47" t="inlineStr">
        <is>
          <t>2000-09-28</t>
        </is>
      </c>
      <c r="V47" t="inlineStr">
        <is>
          <t>2000-09-28</t>
        </is>
      </c>
      <c r="W47" t="inlineStr">
        <is>
          <t>1992-01-28</t>
        </is>
      </c>
      <c r="X47" t="inlineStr">
        <is>
          <t>1992-01-28</t>
        </is>
      </c>
      <c r="Y47" t="n">
        <v>342</v>
      </c>
      <c r="Z47" t="n">
        <v>304</v>
      </c>
      <c r="AA47" t="n">
        <v>309</v>
      </c>
      <c r="AB47" t="n">
        <v>3</v>
      </c>
      <c r="AC47" t="n">
        <v>3</v>
      </c>
      <c r="AD47" t="n">
        <v>7</v>
      </c>
      <c r="AE47" t="n">
        <v>7</v>
      </c>
      <c r="AF47" t="n">
        <v>2</v>
      </c>
      <c r="AG47" t="n">
        <v>2</v>
      </c>
      <c r="AH47" t="n">
        <v>2</v>
      </c>
      <c r="AI47" t="n">
        <v>2</v>
      </c>
      <c r="AJ47" t="n">
        <v>3</v>
      </c>
      <c r="AK47" t="n">
        <v>3</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HYPERLINK("https://creighton-primo.hosted.exlibrisgroup.com/primo-explore/search?tab=default_tab&amp;search_scope=EVERYTHING&amp;vid=01CRU&amp;lang=en_US&amp;offset=0&amp;query=any,contains,991003696299702656","Catalog Record")</f>
        <v/>
      </c>
      <c r="AT47">
        <f>HYPERLINK("http://www.worldcat.org/oclc/1328917","WorldCat Record")</f>
        <v/>
      </c>
      <c r="AU47" t="inlineStr">
        <is>
          <t>2213346:eng</t>
        </is>
      </c>
      <c r="AV47" t="inlineStr">
        <is>
          <t>1328917</t>
        </is>
      </c>
      <c r="AW47" t="inlineStr">
        <is>
          <t>991003696299702656</t>
        </is>
      </c>
      <c r="AX47" t="inlineStr">
        <is>
          <t>991003696299702656</t>
        </is>
      </c>
      <c r="AY47" t="inlineStr">
        <is>
          <t>2259161180002656</t>
        </is>
      </c>
      <c r="AZ47" t="inlineStr">
        <is>
          <t>BOOK</t>
        </is>
      </c>
      <c r="BC47" t="inlineStr">
        <is>
          <t>32285000926393</t>
        </is>
      </c>
      <c r="BD47" t="inlineStr">
        <is>
          <t>893525116</t>
        </is>
      </c>
    </row>
    <row r="48">
      <c r="A48" t="inlineStr">
        <is>
          <t>No</t>
        </is>
      </c>
      <c r="B48" t="inlineStr">
        <is>
          <t>BV1471.2 .N4</t>
        </is>
      </c>
      <c r="C48" t="inlineStr">
        <is>
          <t>0                      BV 1471200N  4</t>
        </is>
      </c>
      <c r="D48" t="inlineStr">
        <is>
          <t>Where faith begins / [by] C. Ellis Nelson.</t>
        </is>
      </c>
      <c r="F48" t="inlineStr">
        <is>
          <t>No</t>
        </is>
      </c>
      <c r="G48" t="inlineStr">
        <is>
          <t>1</t>
        </is>
      </c>
      <c r="H48" t="inlineStr">
        <is>
          <t>No</t>
        </is>
      </c>
      <c r="I48" t="inlineStr">
        <is>
          <t>No</t>
        </is>
      </c>
      <c r="J48" t="inlineStr">
        <is>
          <t>0</t>
        </is>
      </c>
      <c r="K48" t="inlineStr">
        <is>
          <t>Nelson, Carl Ellis, 1916-2011.</t>
        </is>
      </c>
      <c r="L48" t="inlineStr">
        <is>
          <t>Richmond : John Knox Press, [1967]</t>
        </is>
      </c>
      <c r="M48" t="inlineStr">
        <is>
          <t>1967</t>
        </is>
      </c>
      <c r="O48" t="inlineStr">
        <is>
          <t>eng</t>
        </is>
      </c>
      <c r="P48" t="inlineStr">
        <is>
          <t>vau</t>
        </is>
      </c>
      <c r="Q48" t="inlineStr">
        <is>
          <t>The James Sprunt lectures, 1965</t>
        </is>
      </c>
      <c r="R48" t="inlineStr">
        <is>
          <t xml:space="preserve">BV </t>
        </is>
      </c>
      <c r="S48" t="n">
        <v>3</v>
      </c>
      <c r="T48" t="n">
        <v>3</v>
      </c>
      <c r="U48" t="inlineStr">
        <is>
          <t>1992-03-12</t>
        </is>
      </c>
      <c r="V48" t="inlineStr">
        <is>
          <t>1992-03-12</t>
        </is>
      </c>
      <c r="W48" t="inlineStr">
        <is>
          <t>1992-02-10</t>
        </is>
      </c>
      <c r="X48" t="inlineStr">
        <is>
          <t>1992-02-10</t>
        </is>
      </c>
      <c r="Y48" t="n">
        <v>308</v>
      </c>
      <c r="Z48" t="n">
        <v>272</v>
      </c>
      <c r="AA48" t="n">
        <v>318</v>
      </c>
      <c r="AB48" t="n">
        <v>2</v>
      </c>
      <c r="AC48" t="n">
        <v>3</v>
      </c>
      <c r="AD48" t="n">
        <v>16</v>
      </c>
      <c r="AE48" t="n">
        <v>23</v>
      </c>
      <c r="AF48" t="n">
        <v>6</v>
      </c>
      <c r="AG48" t="n">
        <v>8</v>
      </c>
      <c r="AH48" t="n">
        <v>2</v>
      </c>
      <c r="AI48" t="n">
        <v>5</v>
      </c>
      <c r="AJ48" t="n">
        <v>13</v>
      </c>
      <c r="AK48" t="n">
        <v>16</v>
      </c>
      <c r="AL48" t="n">
        <v>0</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HYPERLINK("https://creighton-primo.hosted.exlibrisgroup.com/primo-explore/search?tab=default_tab&amp;search_scope=EVERYTHING&amp;vid=01CRU&amp;lang=en_US&amp;offset=0&amp;query=any,contains,991002827489702656","Catalog Record")</f>
        <v/>
      </c>
      <c r="AT48">
        <f>HYPERLINK("http://www.worldcat.org/oclc/476078","WorldCat Record")</f>
        <v/>
      </c>
      <c r="AU48" t="inlineStr">
        <is>
          <t>457674:eng</t>
        </is>
      </c>
      <c r="AV48" t="inlineStr">
        <is>
          <t>476078</t>
        </is>
      </c>
      <c r="AW48" t="inlineStr">
        <is>
          <t>991002827489702656</t>
        </is>
      </c>
      <c r="AX48" t="inlineStr">
        <is>
          <t>991002827489702656</t>
        </is>
      </c>
      <c r="AY48" t="inlineStr">
        <is>
          <t>2254876150002656</t>
        </is>
      </c>
      <c r="AZ48" t="inlineStr">
        <is>
          <t>BOOK</t>
        </is>
      </c>
      <c r="BC48" t="inlineStr">
        <is>
          <t>32285000868983</t>
        </is>
      </c>
      <c r="BD48" t="inlineStr">
        <is>
          <t>893421844</t>
        </is>
      </c>
    </row>
    <row r="49">
      <c r="A49" t="inlineStr">
        <is>
          <t>No</t>
        </is>
      </c>
      <c r="B49" t="inlineStr">
        <is>
          <t>BV1471.2 .R45 1990</t>
        </is>
      </c>
      <c r="C49" t="inlineStr">
        <is>
          <t>0                      BV 1471200R  45          1990</t>
        </is>
      </c>
      <c r="D49" t="inlineStr">
        <is>
          <t>Religious education in the small membership church / edited by Nancy T. Foltz.</t>
        </is>
      </c>
      <c r="F49" t="inlineStr">
        <is>
          <t>No</t>
        </is>
      </c>
      <c r="G49" t="inlineStr">
        <is>
          <t>1</t>
        </is>
      </c>
      <c r="H49" t="inlineStr">
        <is>
          <t>No</t>
        </is>
      </c>
      <c r="I49" t="inlineStr">
        <is>
          <t>No</t>
        </is>
      </c>
      <c r="J49" t="inlineStr">
        <is>
          <t>0</t>
        </is>
      </c>
      <c r="L49" t="inlineStr">
        <is>
          <t>Notre Dame, IN : Religious Education Press, 1990.</t>
        </is>
      </c>
      <c r="M49" t="inlineStr">
        <is>
          <t>1990</t>
        </is>
      </c>
      <c r="O49" t="inlineStr">
        <is>
          <t>eng</t>
        </is>
      </c>
      <c r="P49" t="inlineStr">
        <is>
          <t>inu</t>
        </is>
      </c>
      <c r="R49" t="inlineStr">
        <is>
          <t xml:space="preserve">BV </t>
        </is>
      </c>
      <c r="S49" t="n">
        <v>4</v>
      </c>
      <c r="T49" t="n">
        <v>4</v>
      </c>
      <c r="U49" t="inlineStr">
        <is>
          <t>1995-09-28</t>
        </is>
      </c>
      <c r="V49" t="inlineStr">
        <is>
          <t>1995-09-28</t>
        </is>
      </c>
      <c r="W49" t="inlineStr">
        <is>
          <t>1991-02-14</t>
        </is>
      </c>
      <c r="X49" t="inlineStr">
        <is>
          <t>1991-02-14</t>
        </is>
      </c>
      <c r="Y49" t="n">
        <v>273</v>
      </c>
      <c r="Z49" t="n">
        <v>235</v>
      </c>
      <c r="AA49" t="n">
        <v>250</v>
      </c>
      <c r="AB49" t="n">
        <v>2</v>
      </c>
      <c r="AC49" t="n">
        <v>3</v>
      </c>
      <c r="AD49" t="n">
        <v>18</v>
      </c>
      <c r="AE49" t="n">
        <v>20</v>
      </c>
      <c r="AF49" t="n">
        <v>9</v>
      </c>
      <c r="AG49" t="n">
        <v>10</v>
      </c>
      <c r="AH49" t="n">
        <v>3</v>
      </c>
      <c r="AI49" t="n">
        <v>4</v>
      </c>
      <c r="AJ49" t="n">
        <v>10</v>
      </c>
      <c r="AK49" t="n">
        <v>10</v>
      </c>
      <c r="AL49" t="n">
        <v>1</v>
      </c>
      <c r="AM49" t="n">
        <v>2</v>
      </c>
      <c r="AN49" t="n">
        <v>0</v>
      </c>
      <c r="AO49" t="n">
        <v>0</v>
      </c>
      <c r="AP49" t="inlineStr">
        <is>
          <t>No</t>
        </is>
      </c>
      <c r="AQ49" t="inlineStr">
        <is>
          <t>No</t>
        </is>
      </c>
      <c r="AS49">
        <f>HYPERLINK("https://creighton-primo.hosted.exlibrisgroup.com/primo-explore/search?tab=default_tab&amp;search_scope=EVERYTHING&amp;vid=01CRU&amp;lang=en_US&amp;offset=0&amp;query=any,contains,991001740729702656","Catalog Record")</f>
        <v/>
      </c>
      <c r="AT49">
        <f>HYPERLINK("http://www.worldcat.org/oclc/22003845","WorldCat Record")</f>
        <v/>
      </c>
      <c r="AU49" t="inlineStr">
        <is>
          <t>22926957:eng</t>
        </is>
      </c>
      <c r="AV49" t="inlineStr">
        <is>
          <t>22003845</t>
        </is>
      </c>
      <c r="AW49" t="inlineStr">
        <is>
          <t>991001740729702656</t>
        </is>
      </c>
      <c r="AX49" t="inlineStr">
        <is>
          <t>991001740729702656</t>
        </is>
      </c>
      <c r="AY49" t="inlineStr">
        <is>
          <t>2272161380002656</t>
        </is>
      </c>
      <c r="AZ49" t="inlineStr">
        <is>
          <t>BOOK</t>
        </is>
      </c>
      <c r="BB49" t="inlineStr">
        <is>
          <t>9780891350774</t>
        </is>
      </c>
      <c r="BC49" t="inlineStr">
        <is>
          <t>32285000299429</t>
        </is>
      </c>
      <c r="BD49" t="inlineStr">
        <is>
          <t>893408318</t>
        </is>
      </c>
    </row>
    <row r="50">
      <c r="A50" t="inlineStr">
        <is>
          <t>No</t>
        </is>
      </c>
      <c r="B50" t="inlineStr">
        <is>
          <t>BV1471.2 .S8</t>
        </is>
      </c>
      <c r="C50" t="inlineStr">
        <is>
          <t>0                      BV 1471200S  8</t>
        </is>
      </c>
      <c r="D50" t="inlineStr">
        <is>
          <t>Christian education and evangelism / by Donald Gordon Stewart.</t>
        </is>
      </c>
      <c r="F50" t="inlineStr">
        <is>
          <t>No</t>
        </is>
      </c>
      <c r="G50" t="inlineStr">
        <is>
          <t>1</t>
        </is>
      </c>
      <c r="H50" t="inlineStr">
        <is>
          <t>No</t>
        </is>
      </c>
      <c r="I50" t="inlineStr">
        <is>
          <t>No</t>
        </is>
      </c>
      <c r="J50" t="inlineStr">
        <is>
          <t>0</t>
        </is>
      </c>
      <c r="K50" t="inlineStr">
        <is>
          <t>Stewart, Donald Gordon, 1895-</t>
        </is>
      </c>
      <c r="L50" t="inlineStr">
        <is>
          <t>Philadelphia, Westminster Press [1963]</t>
        </is>
      </c>
      <c r="M50" t="inlineStr">
        <is>
          <t>1963</t>
        </is>
      </c>
      <c r="O50" t="inlineStr">
        <is>
          <t>eng</t>
        </is>
      </c>
      <c r="P50" t="inlineStr">
        <is>
          <t xml:space="preserve">xx </t>
        </is>
      </c>
      <c r="R50" t="inlineStr">
        <is>
          <t xml:space="preserve">BV </t>
        </is>
      </c>
      <c r="S50" t="n">
        <v>1</v>
      </c>
      <c r="T50" t="n">
        <v>1</v>
      </c>
      <c r="U50" t="inlineStr">
        <is>
          <t>2007-11-06</t>
        </is>
      </c>
      <c r="V50" t="inlineStr">
        <is>
          <t>2007-11-06</t>
        </is>
      </c>
      <c r="W50" t="inlineStr">
        <is>
          <t>1992-01-28</t>
        </is>
      </c>
      <c r="X50" t="inlineStr">
        <is>
          <t>1992-01-28</t>
        </is>
      </c>
      <c r="Y50" t="n">
        <v>156</v>
      </c>
      <c r="Z50" t="n">
        <v>143</v>
      </c>
      <c r="AA50" t="n">
        <v>143</v>
      </c>
      <c r="AB50" t="n">
        <v>2</v>
      </c>
      <c r="AC50" t="n">
        <v>2</v>
      </c>
      <c r="AD50" t="n">
        <v>5</v>
      </c>
      <c r="AE50" t="n">
        <v>5</v>
      </c>
      <c r="AF50" t="n">
        <v>3</v>
      </c>
      <c r="AG50" t="n">
        <v>3</v>
      </c>
      <c r="AH50" t="n">
        <v>0</v>
      </c>
      <c r="AI50" t="n">
        <v>0</v>
      </c>
      <c r="AJ50" t="n">
        <v>1</v>
      </c>
      <c r="AK50" t="n">
        <v>1</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HYPERLINK("https://creighton-primo.hosted.exlibrisgroup.com/primo-explore/search?tab=default_tab&amp;search_scope=EVERYTHING&amp;vid=01CRU&amp;lang=en_US&amp;offset=0&amp;query=any,contains,991004337169702656","Catalog Record")</f>
        <v/>
      </c>
      <c r="AT50">
        <f>HYPERLINK("http://www.worldcat.org/oclc/3076900","WorldCat Record")</f>
        <v/>
      </c>
      <c r="AU50" t="inlineStr">
        <is>
          <t>7692608:eng</t>
        </is>
      </c>
      <c r="AV50" t="inlineStr">
        <is>
          <t>3076900</t>
        </is>
      </c>
      <c r="AW50" t="inlineStr">
        <is>
          <t>991004337169702656</t>
        </is>
      </c>
      <c r="AX50" t="inlineStr">
        <is>
          <t>991004337169702656</t>
        </is>
      </c>
      <c r="AY50" t="inlineStr">
        <is>
          <t>2265985350002656</t>
        </is>
      </c>
      <c r="AZ50" t="inlineStr">
        <is>
          <t>BOOK</t>
        </is>
      </c>
      <c r="BC50" t="inlineStr">
        <is>
          <t>32285000926450</t>
        </is>
      </c>
      <c r="BD50" t="inlineStr">
        <is>
          <t>893417505</t>
        </is>
      </c>
    </row>
    <row r="51">
      <c r="A51" t="inlineStr">
        <is>
          <t>No</t>
        </is>
      </c>
      <c r="B51" t="inlineStr">
        <is>
          <t>BV1471.2 .U73 1989</t>
        </is>
      </c>
      <c r="C51" t="inlineStr">
        <is>
          <t>0                      BV 1471200U  73          1989</t>
        </is>
      </c>
      <c r="D51" t="inlineStr">
        <is>
          <t>Urban church education / edited by Donald B. Rogers.</t>
        </is>
      </c>
      <c r="F51" t="inlineStr">
        <is>
          <t>No</t>
        </is>
      </c>
      <c r="G51" t="inlineStr">
        <is>
          <t>1</t>
        </is>
      </c>
      <c r="H51" t="inlineStr">
        <is>
          <t>No</t>
        </is>
      </c>
      <c r="I51" t="inlineStr">
        <is>
          <t>No</t>
        </is>
      </c>
      <c r="J51" t="inlineStr">
        <is>
          <t>0</t>
        </is>
      </c>
      <c r="L51" t="inlineStr">
        <is>
          <t>Birmingham, Ala. : Religious Education Press, 1989.</t>
        </is>
      </c>
      <c r="M51" t="inlineStr">
        <is>
          <t>1989</t>
        </is>
      </c>
      <c r="O51" t="inlineStr">
        <is>
          <t>eng</t>
        </is>
      </c>
      <c r="P51" t="inlineStr">
        <is>
          <t>alu</t>
        </is>
      </c>
      <c r="R51" t="inlineStr">
        <is>
          <t xml:space="preserve">BV </t>
        </is>
      </c>
      <c r="S51" t="n">
        <v>1</v>
      </c>
      <c r="T51" t="n">
        <v>1</v>
      </c>
      <c r="U51" t="inlineStr">
        <is>
          <t>2003-02-18</t>
        </is>
      </c>
      <c r="V51" t="inlineStr">
        <is>
          <t>2003-02-18</t>
        </is>
      </c>
      <c r="W51" t="inlineStr">
        <is>
          <t>1992-01-28</t>
        </is>
      </c>
      <c r="X51" t="inlineStr">
        <is>
          <t>1992-01-28</t>
        </is>
      </c>
      <c r="Y51" t="n">
        <v>271</v>
      </c>
      <c r="Z51" t="n">
        <v>232</v>
      </c>
      <c r="AA51" t="n">
        <v>237</v>
      </c>
      <c r="AB51" t="n">
        <v>3</v>
      </c>
      <c r="AC51" t="n">
        <v>3</v>
      </c>
      <c r="AD51" t="n">
        <v>17</v>
      </c>
      <c r="AE51" t="n">
        <v>17</v>
      </c>
      <c r="AF51" t="n">
        <v>7</v>
      </c>
      <c r="AG51" t="n">
        <v>7</v>
      </c>
      <c r="AH51" t="n">
        <v>3</v>
      </c>
      <c r="AI51" t="n">
        <v>3</v>
      </c>
      <c r="AJ51" t="n">
        <v>9</v>
      </c>
      <c r="AK51" t="n">
        <v>9</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HYPERLINK("https://creighton-primo.hosted.exlibrisgroup.com/primo-explore/search?tab=default_tab&amp;search_scope=EVERYTHING&amp;vid=01CRU&amp;lang=en_US&amp;offset=0&amp;query=any,contains,991001470869702656","Catalog Record")</f>
        <v/>
      </c>
      <c r="AT51">
        <f>HYPERLINK("http://www.worldcat.org/oclc/19552832","WorldCat Record")</f>
        <v/>
      </c>
      <c r="AU51" t="inlineStr">
        <is>
          <t>349939580:eng</t>
        </is>
      </c>
      <c r="AV51" t="inlineStr">
        <is>
          <t>19552832</t>
        </is>
      </c>
      <c r="AW51" t="inlineStr">
        <is>
          <t>991001470869702656</t>
        </is>
      </c>
      <c r="AX51" t="inlineStr">
        <is>
          <t>991001470869702656</t>
        </is>
      </c>
      <c r="AY51" t="inlineStr">
        <is>
          <t>2269908220002656</t>
        </is>
      </c>
      <c r="AZ51" t="inlineStr">
        <is>
          <t>BOOK</t>
        </is>
      </c>
      <c r="BB51" t="inlineStr">
        <is>
          <t>9780891350705</t>
        </is>
      </c>
      <c r="BC51" t="inlineStr">
        <is>
          <t>32285000926476</t>
        </is>
      </c>
      <c r="BD51" t="inlineStr">
        <is>
          <t>893414258</t>
        </is>
      </c>
    </row>
    <row r="52">
      <c r="A52" t="inlineStr">
        <is>
          <t>No</t>
        </is>
      </c>
      <c r="B52" t="inlineStr">
        <is>
          <t>BV1471.2 G687 1981</t>
        </is>
      </c>
      <c r="C52" t="inlineStr">
        <is>
          <t>0                      BV 1471200G  687         1981</t>
        </is>
      </c>
      <c r="D52" t="inlineStr">
        <is>
          <t>Christian religious education : sharing our story and vision / Thomas H. Groome.</t>
        </is>
      </c>
      <c r="F52" t="inlineStr">
        <is>
          <t>No</t>
        </is>
      </c>
      <c r="G52" t="inlineStr">
        <is>
          <t>1</t>
        </is>
      </c>
      <c r="H52" t="inlineStr">
        <is>
          <t>No</t>
        </is>
      </c>
      <c r="I52" t="inlineStr">
        <is>
          <t>Yes</t>
        </is>
      </c>
      <c r="J52" t="inlineStr">
        <is>
          <t>0</t>
        </is>
      </c>
      <c r="K52" t="inlineStr">
        <is>
          <t>Groome, Thomas H.</t>
        </is>
      </c>
      <c r="L52" t="inlineStr">
        <is>
          <t>San Francisco : Harper &amp; Row, 1981, c1980.</t>
        </is>
      </c>
      <c r="M52" t="inlineStr">
        <is>
          <t>1981</t>
        </is>
      </c>
      <c r="N52" t="inlineStr">
        <is>
          <t>1st Harper &amp; Row paperback ed.</t>
        </is>
      </c>
      <c r="O52" t="inlineStr">
        <is>
          <t>eng</t>
        </is>
      </c>
      <c r="P52" t="inlineStr">
        <is>
          <t>cau</t>
        </is>
      </c>
      <c r="R52" t="inlineStr">
        <is>
          <t xml:space="preserve">BV </t>
        </is>
      </c>
      <c r="S52" t="n">
        <v>7</v>
      </c>
      <c r="T52" t="n">
        <v>7</v>
      </c>
      <c r="U52" t="inlineStr">
        <is>
          <t>2001-11-30</t>
        </is>
      </c>
      <c r="V52" t="inlineStr">
        <is>
          <t>2001-11-30</t>
        </is>
      </c>
      <c r="W52" t="inlineStr">
        <is>
          <t>1992-08-05</t>
        </is>
      </c>
      <c r="X52" t="inlineStr">
        <is>
          <t>1992-08-05</t>
        </is>
      </c>
      <c r="Y52" t="n">
        <v>153</v>
      </c>
      <c r="Z52" t="n">
        <v>123</v>
      </c>
      <c r="AA52" t="n">
        <v>569</v>
      </c>
      <c r="AB52" t="n">
        <v>2</v>
      </c>
      <c r="AC52" t="n">
        <v>7</v>
      </c>
      <c r="AD52" t="n">
        <v>7</v>
      </c>
      <c r="AE52" t="n">
        <v>40</v>
      </c>
      <c r="AF52" t="n">
        <v>4</v>
      </c>
      <c r="AG52" t="n">
        <v>17</v>
      </c>
      <c r="AH52" t="n">
        <v>1</v>
      </c>
      <c r="AI52" t="n">
        <v>8</v>
      </c>
      <c r="AJ52" t="n">
        <v>2</v>
      </c>
      <c r="AK52" t="n">
        <v>23</v>
      </c>
      <c r="AL52" t="n">
        <v>1</v>
      </c>
      <c r="AM52" t="n">
        <v>5</v>
      </c>
      <c r="AN52" t="n">
        <v>0</v>
      </c>
      <c r="AO52" t="n">
        <v>0</v>
      </c>
      <c r="AP52" t="inlineStr">
        <is>
          <t>No</t>
        </is>
      </c>
      <c r="AQ52" t="inlineStr">
        <is>
          <t>No</t>
        </is>
      </c>
      <c r="AS52">
        <f>HYPERLINK("https://creighton-primo.hosted.exlibrisgroup.com/primo-explore/search?tab=default_tab&amp;search_scope=EVERYTHING&amp;vid=01CRU&amp;lang=en_US&amp;offset=0&amp;query=any,contains,991000141739702656","Catalog Record")</f>
        <v/>
      </c>
      <c r="AT52">
        <f>HYPERLINK("http://www.worldcat.org/oclc/9159255","WorldCat Record")</f>
        <v/>
      </c>
      <c r="AU52" t="inlineStr">
        <is>
          <t>403741:eng</t>
        </is>
      </c>
      <c r="AV52" t="inlineStr">
        <is>
          <t>9159255</t>
        </is>
      </c>
      <c r="AW52" t="inlineStr">
        <is>
          <t>991000141739702656</t>
        </is>
      </c>
      <c r="AX52" t="inlineStr">
        <is>
          <t>991000141739702656</t>
        </is>
      </c>
      <c r="AY52" t="inlineStr">
        <is>
          <t>2268757020002656</t>
        </is>
      </c>
      <c r="AZ52" t="inlineStr">
        <is>
          <t>BOOK</t>
        </is>
      </c>
      <c r="BB52" t="inlineStr">
        <is>
          <t>9780060634940</t>
        </is>
      </c>
      <c r="BC52" t="inlineStr">
        <is>
          <t>32285001208445</t>
        </is>
      </c>
      <c r="BD52" t="inlineStr">
        <is>
          <t>893527843</t>
        </is>
      </c>
    </row>
    <row r="53">
      <c r="A53" t="inlineStr">
        <is>
          <t>No</t>
        </is>
      </c>
      <c r="B53" t="inlineStr">
        <is>
          <t>BV1473 .D64 1988</t>
        </is>
      </c>
      <c r="C53" t="inlineStr">
        <is>
          <t>0                      BV 1473000D  64          1988</t>
        </is>
      </c>
      <c r="D53" t="inlineStr">
        <is>
          <t>Does the church really want religious education? / edited by Marlene Mayr.</t>
        </is>
      </c>
      <c r="F53" t="inlineStr">
        <is>
          <t>No</t>
        </is>
      </c>
      <c r="G53" t="inlineStr">
        <is>
          <t>1</t>
        </is>
      </c>
      <c r="H53" t="inlineStr">
        <is>
          <t>No</t>
        </is>
      </c>
      <c r="I53" t="inlineStr">
        <is>
          <t>No</t>
        </is>
      </c>
      <c r="J53" t="inlineStr">
        <is>
          <t>0</t>
        </is>
      </c>
      <c r="L53" t="inlineStr">
        <is>
          <t>Birmingham, Ala. : Religious Education Press, c1988.</t>
        </is>
      </c>
      <c r="M53" t="inlineStr">
        <is>
          <t>1988</t>
        </is>
      </c>
      <c r="O53" t="inlineStr">
        <is>
          <t>eng</t>
        </is>
      </c>
      <c r="P53" t="inlineStr">
        <is>
          <t>alu</t>
        </is>
      </c>
      <c r="R53" t="inlineStr">
        <is>
          <t xml:space="preserve">BV </t>
        </is>
      </c>
      <c r="S53" t="n">
        <v>4</v>
      </c>
      <c r="T53" t="n">
        <v>4</v>
      </c>
      <c r="U53" t="inlineStr">
        <is>
          <t>1998-12-05</t>
        </is>
      </c>
      <c r="V53" t="inlineStr">
        <is>
          <t>1998-12-05</t>
        </is>
      </c>
      <c r="W53" t="inlineStr">
        <is>
          <t>1990-03-28</t>
        </is>
      </c>
      <c r="X53" t="inlineStr">
        <is>
          <t>1990-03-28</t>
        </is>
      </c>
      <c r="Y53" t="n">
        <v>283</v>
      </c>
      <c r="Z53" t="n">
        <v>236</v>
      </c>
      <c r="AA53" t="n">
        <v>244</v>
      </c>
      <c r="AB53" t="n">
        <v>3</v>
      </c>
      <c r="AC53" t="n">
        <v>3</v>
      </c>
      <c r="AD53" t="n">
        <v>19</v>
      </c>
      <c r="AE53" t="n">
        <v>19</v>
      </c>
      <c r="AF53" t="n">
        <v>8</v>
      </c>
      <c r="AG53" t="n">
        <v>8</v>
      </c>
      <c r="AH53" t="n">
        <v>4</v>
      </c>
      <c r="AI53" t="n">
        <v>4</v>
      </c>
      <c r="AJ53" t="n">
        <v>10</v>
      </c>
      <c r="AK53" t="n">
        <v>10</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HYPERLINK("https://creighton-primo.hosted.exlibrisgroup.com/primo-explore/search?tab=default_tab&amp;search_scope=EVERYTHING&amp;vid=01CRU&amp;lang=en_US&amp;offset=0&amp;query=any,contains,991001193599702656","Catalog Record")</f>
        <v/>
      </c>
      <c r="AT53">
        <f>HYPERLINK("http://www.worldcat.org/oclc/17263290","WorldCat Record")</f>
        <v/>
      </c>
      <c r="AU53" t="inlineStr">
        <is>
          <t>1806755053:eng</t>
        </is>
      </c>
      <c r="AV53" t="inlineStr">
        <is>
          <t>17263290</t>
        </is>
      </c>
      <c r="AW53" t="inlineStr">
        <is>
          <t>991001193599702656</t>
        </is>
      </c>
      <c r="AX53" t="inlineStr">
        <is>
          <t>991001193599702656</t>
        </is>
      </c>
      <c r="AY53" t="inlineStr">
        <is>
          <t>2266454970002656</t>
        </is>
      </c>
      <c r="AZ53" t="inlineStr">
        <is>
          <t>BOOK</t>
        </is>
      </c>
      <c r="BB53" t="inlineStr">
        <is>
          <t>9780891350620</t>
        </is>
      </c>
      <c r="BC53" t="inlineStr">
        <is>
          <t>32285000099217</t>
        </is>
      </c>
      <c r="BD53" t="inlineStr">
        <is>
          <t>893784907</t>
        </is>
      </c>
    </row>
    <row r="54">
      <c r="A54" t="inlineStr">
        <is>
          <t>No</t>
        </is>
      </c>
      <c r="B54" t="inlineStr">
        <is>
          <t>BV1473 .E47 1976</t>
        </is>
      </c>
      <c r="C54" t="inlineStr">
        <is>
          <t>0                      BV 1473000E  47          1976</t>
        </is>
      </c>
      <c r="D54" t="inlineStr">
        <is>
          <t>Emerging issues in religious education / edited by Gloria Durka and Joanmarie Smith.</t>
        </is>
      </c>
      <c r="F54" t="inlineStr">
        <is>
          <t>No</t>
        </is>
      </c>
      <c r="G54" t="inlineStr">
        <is>
          <t>1</t>
        </is>
      </c>
      <c r="H54" t="inlineStr">
        <is>
          <t>No</t>
        </is>
      </c>
      <c r="I54" t="inlineStr">
        <is>
          <t>No</t>
        </is>
      </c>
      <c r="J54" t="inlineStr">
        <is>
          <t>0</t>
        </is>
      </c>
      <c r="L54" t="inlineStr">
        <is>
          <t>New York : Paulist Press, c1976.</t>
        </is>
      </c>
      <c r="M54" t="inlineStr">
        <is>
          <t>1976</t>
        </is>
      </c>
      <c r="O54" t="inlineStr">
        <is>
          <t>eng</t>
        </is>
      </c>
      <c r="P54" t="inlineStr">
        <is>
          <t>nyu</t>
        </is>
      </c>
      <c r="R54" t="inlineStr">
        <is>
          <t xml:space="preserve">BV </t>
        </is>
      </c>
      <c r="S54" t="n">
        <v>2</v>
      </c>
      <c r="T54" t="n">
        <v>2</v>
      </c>
      <c r="U54" t="inlineStr">
        <is>
          <t>1998-12-05</t>
        </is>
      </c>
      <c r="V54" t="inlineStr">
        <is>
          <t>1998-12-05</t>
        </is>
      </c>
      <c r="W54" t="inlineStr">
        <is>
          <t>1992-01-28</t>
        </is>
      </c>
      <c r="X54" t="inlineStr">
        <is>
          <t>1992-01-28</t>
        </is>
      </c>
      <c r="Y54" t="n">
        <v>281</v>
      </c>
      <c r="Z54" t="n">
        <v>232</v>
      </c>
      <c r="AA54" t="n">
        <v>232</v>
      </c>
      <c r="AB54" t="n">
        <v>3</v>
      </c>
      <c r="AC54" t="n">
        <v>3</v>
      </c>
      <c r="AD54" t="n">
        <v>24</v>
      </c>
      <c r="AE54" t="n">
        <v>24</v>
      </c>
      <c r="AF54" t="n">
        <v>7</v>
      </c>
      <c r="AG54" t="n">
        <v>7</v>
      </c>
      <c r="AH54" t="n">
        <v>6</v>
      </c>
      <c r="AI54" t="n">
        <v>6</v>
      </c>
      <c r="AJ54" t="n">
        <v>16</v>
      </c>
      <c r="AK54" t="n">
        <v>16</v>
      </c>
      <c r="AL54" t="n">
        <v>2</v>
      </c>
      <c r="AM54" t="n">
        <v>2</v>
      </c>
      <c r="AN54" t="n">
        <v>0</v>
      </c>
      <c r="AO54" t="n">
        <v>0</v>
      </c>
      <c r="AP54" t="inlineStr">
        <is>
          <t>No</t>
        </is>
      </c>
      <c r="AQ54" t="inlineStr">
        <is>
          <t>No</t>
        </is>
      </c>
      <c r="AS54">
        <f>HYPERLINK("https://creighton-primo.hosted.exlibrisgroup.com/primo-explore/search?tab=default_tab&amp;search_scope=EVERYTHING&amp;vid=01CRU&amp;lang=en_US&amp;offset=0&amp;query=any,contains,991004185779702656","Catalog Record")</f>
        <v/>
      </c>
      <c r="AT54">
        <f>HYPERLINK("http://www.worldcat.org/oclc/2584961","WorldCat Record")</f>
        <v/>
      </c>
      <c r="AU54" t="inlineStr">
        <is>
          <t>355959698:eng</t>
        </is>
      </c>
      <c r="AV54" t="inlineStr">
        <is>
          <t>2584961</t>
        </is>
      </c>
      <c r="AW54" t="inlineStr">
        <is>
          <t>991004185779702656</t>
        </is>
      </c>
      <c r="AX54" t="inlineStr">
        <is>
          <t>991004185779702656</t>
        </is>
      </c>
      <c r="AY54" t="inlineStr">
        <is>
          <t>2265018890002656</t>
        </is>
      </c>
      <c r="AZ54" t="inlineStr">
        <is>
          <t>BOOK</t>
        </is>
      </c>
      <c r="BB54" t="inlineStr">
        <is>
          <t>9780809119714</t>
        </is>
      </c>
      <c r="BC54" t="inlineStr">
        <is>
          <t>32285000926492</t>
        </is>
      </c>
      <c r="BD54" t="inlineStr">
        <is>
          <t>893512923</t>
        </is>
      </c>
    </row>
    <row r="55">
      <c r="A55" t="inlineStr">
        <is>
          <t>No</t>
        </is>
      </c>
      <c r="B55" t="inlineStr">
        <is>
          <t>BV1473 .W65 1985</t>
        </is>
      </c>
      <c r="C55" t="inlineStr">
        <is>
          <t>0                      BV 1473000W  65          1985</t>
        </is>
      </c>
      <c r="D55" t="inlineStr">
        <is>
          <t>Women's issues in religious education / edited by Fern M. Giltner ; contributors, Ruth Floyd ... [et al.].</t>
        </is>
      </c>
      <c r="F55" t="inlineStr">
        <is>
          <t>No</t>
        </is>
      </c>
      <c r="G55" t="inlineStr">
        <is>
          <t>1</t>
        </is>
      </c>
      <c r="H55" t="inlineStr">
        <is>
          <t>No</t>
        </is>
      </c>
      <c r="I55" t="inlineStr">
        <is>
          <t>No</t>
        </is>
      </c>
      <c r="J55" t="inlineStr">
        <is>
          <t>0</t>
        </is>
      </c>
      <c r="L55" t="inlineStr">
        <is>
          <t>Birmingham, Ala. : Religious Education Press, 1985.</t>
        </is>
      </c>
      <c r="M55" t="inlineStr">
        <is>
          <t>1985</t>
        </is>
      </c>
      <c r="O55" t="inlineStr">
        <is>
          <t>eng</t>
        </is>
      </c>
      <c r="P55" t="inlineStr">
        <is>
          <t>alu</t>
        </is>
      </c>
      <c r="R55" t="inlineStr">
        <is>
          <t xml:space="preserve">BV </t>
        </is>
      </c>
      <c r="S55" t="n">
        <v>5</v>
      </c>
      <c r="T55" t="n">
        <v>5</v>
      </c>
      <c r="U55" t="inlineStr">
        <is>
          <t>2004-07-12</t>
        </is>
      </c>
      <c r="V55" t="inlineStr">
        <is>
          <t>2004-07-12</t>
        </is>
      </c>
      <c r="W55" t="inlineStr">
        <is>
          <t>1992-01-31</t>
        </is>
      </c>
      <c r="X55" t="inlineStr">
        <is>
          <t>1992-01-31</t>
        </is>
      </c>
      <c r="Y55" t="n">
        <v>375</v>
      </c>
      <c r="Z55" t="n">
        <v>326</v>
      </c>
      <c r="AA55" t="n">
        <v>328</v>
      </c>
      <c r="AB55" t="n">
        <v>3</v>
      </c>
      <c r="AC55" t="n">
        <v>3</v>
      </c>
      <c r="AD55" t="n">
        <v>22</v>
      </c>
      <c r="AE55" t="n">
        <v>22</v>
      </c>
      <c r="AF55" t="n">
        <v>10</v>
      </c>
      <c r="AG55" t="n">
        <v>10</v>
      </c>
      <c r="AH55" t="n">
        <v>2</v>
      </c>
      <c r="AI55" t="n">
        <v>2</v>
      </c>
      <c r="AJ55" t="n">
        <v>14</v>
      </c>
      <c r="AK55" t="n">
        <v>14</v>
      </c>
      <c r="AL55" t="n">
        <v>2</v>
      </c>
      <c r="AM55" t="n">
        <v>2</v>
      </c>
      <c r="AN55" t="n">
        <v>0</v>
      </c>
      <c r="AO55" t="n">
        <v>0</v>
      </c>
      <c r="AP55" t="inlineStr">
        <is>
          <t>No</t>
        </is>
      </c>
      <c r="AQ55" t="inlineStr">
        <is>
          <t>Yes</t>
        </is>
      </c>
      <c r="AR55">
        <f>HYPERLINK("http://catalog.hathitrust.org/Record/000380557","HathiTrust Record")</f>
        <v/>
      </c>
      <c r="AS55">
        <f>HYPERLINK("https://creighton-primo.hosted.exlibrisgroup.com/primo-explore/search?tab=default_tab&amp;search_scope=EVERYTHING&amp;vid=01CRU&amp;lang=en_US&amp;offset=0&amp;query=any,contains,991000657759702656","Catalog Record")</f>
        <v/>
      </c>
      <c r="AT55">
        <f>HYPERLINK("http://www.worldcat.org/oclc/12217186","WorldCat Record")</f>
        <v/>
      </c>
      <c r="AU55" t="inlineStr">
        <is>
          <t>4963290:eng</t>
        </is>
      </c>
      <c r="AV55" t="inlineStr">
        <is>
          <t>12217186</t>
        </is>
      </c>
      <c r="AW55" t="inlineStr">
        <is>
          <t>991000657759702656</t>
        </is>
      </c>
      <c r="AX55" t="inlineStr">
        <is>
          <t>991000657759702656</t>
        </is>
      </c>
      <c r="AY55" t="inlineStr">
        <is>
          <t>2267868690002656</t>
        </is>
      </c>
      <c r="AZ55" t="inlineStr">
        <is>
          <t>BOOK</t>
        </is>
      </c>
      <c r="BB55" t="inlineStr">
        <is>
          <t>9780891350514</t>
        </is>
      </c>
      <c r="BC55" t="inlineStr">
        <is>
          <t>32285000926583</t>
        </is>
      </c>
      <c r="BD55" t="inlineStr">
        <is>
          <t>893515482</t>
        </is>
      </c>
    </row>
    <row r="56">
      <c r="A56" t="inlineStr">
        <is>
          <t>No</t>
        </is>
      </c>
      <c r="B56" t="inlineStr">
        <is>
          <t>BV1475.2 .C33</t>
        </is>
      </c>
      <c r="C56" t="inlineStr">
        <is>
          <t>0                      BV 1475200C  33</t>
        </is>
      </c>
      <c r="D56" t="inlineStr">
        <is>
          <t>Catechesis, realities and visions : a symposium on the catechesis of children and youth.</t>
        </is>
      </c>
      <c r="F56" t="inlineStr">
        <is>
          <t>No</t>
        </is>
      </c>
      <c r="G56" t="inlineStr">
        <is>
          <t>1</t>
        </is>
      </c>
      <c r="H56" t="inlineStr">
        <is>
          <t>No</t>
        </is>
      </c>
      <c r="I56" t="inlineStr">
        <is>
          <t>No</t>
        </is>
      </c>
      <c r="J56" t="inlineStr">
        <is>
          <t>0</t>
        </is>
      </c>
      <c r="L56" t="inlineStr">
        <is>
          <t>Washington : Dept. of Education, United States Catholic Conference, c1977.</t>
        </is>
      </c>
      <c r="M56" t="inlineStr">
        <is>
          <t>1977</t>
        </is>
      </c>
      <c r="O56" t="inlineStr">
        <is>
          <t>eng</t>
        </is>
      </c>
      <c r="P56" t="inlineStr">
        <is>
          <t>dcu</t>
        </is>
      </c>
      <c r="R56" t="inlineStr">
        <is>
          <t xml:space="preserve">BV </t>
        </is>
      </c>
      <c r="S56" t="n">
        <v>1</v>
      </c>
      <c r="T56" t="n">
        <v>1</v>
      </c>
      <c r="U56" t="inlineStr">
        <is>
          <t>2007-04-24</t>
        </is>
      </c>
      <c r="V56" t="inlineStr">
        <is>
          <t>2007-04-24</t>
        </is>
      </c>
      <c r="W56" t="inlineStr">
        <is>
          <t>1992-01-31</t>
        </is>
      </c>
      <c r="X56" t="inlineStr">
        <is>
          <t>1992-01-31</t>
        </is>
      </c>
      <c r="Y56" t="n">
        <v>147</v>
      </c>
      <c r="Z56" t="n">
        <v>121</v>
      </c>
      <c r="AA56" t="n">
        <v>126</v>
      </c>
      <c r="AB56" t="n">
        <v>2</v>
      </c>
      <c r="AC56" t="n">
        <v>2</v>
      </c>
      <c r="AD56" t="n">
        <v>19</v>
      </c>
      <c r="AE56" t="n">
        <v>19</v>
      </c>
      <c r="AF56" t="n">
        <v>4</v>
      </c>
      <c r="AG56" t="n">
        <v>4</v>
      </c>
      <c r="AH56" t="n">
        <v>6</v>
      </c>
      <c r="AI56" t="n">
        <v>6</v>
      </c>
      <c r="AJ56" t="n">
        <v>14</v>
      </c>
      <c r="AK56" t="n">
        <v>14</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HYPERLINK("https://creighton-primo.hosted.exlibrisgroup.com/primo-explore/search?tab=default_tab&amp;search_scope=EVERYTHING&amp;vid=01CRU&amp;lang=en_US&amp;offset=0&amp;query=any,contains,991004499159702656","Catalog Record")</f>
        <v/>
      </c>
      <c r="AT56">
        <f>HYPERLINK("http://www.worldcat.org/oclc/3710450","WorldCat Record")</f>
        <v/>
      </c>
      <c r="AU56" t="inlineStr">
        <is>
          <t>11889841:eng</t>
        </is>
      </c>
      <c r="AV56" t="inlineStr">
        <is>
          <t>3710450</t>
        </is>
      </c>
      <c r="AW56" t="inlineStr">
        <is>
          <t>991004499159702656</t>
        </is>
      </c>
      <c r="AX56" t="inlineStr">
        <is>
          <t>991004499159702656</t>
        </is>
      </c>
      <c r="AY56" t="inlineStr">
        <is>
          <t>2259879200002656</t>
        </is>
      </c>
      <c r="AZ56" t="inlineStr">
        <is>
          <t>BOOK</t>
        </is>
      </c>
      <c r="BC56" t="inlineStr">
        <is>
          <t>32285000926609</t>
        </is>
      </c>
      <c r="BD56" t="inlineStr">
        <is>
          <t>893442678</t>
        </is>
      </c>
    </row>
    <row r="57">
      <c r="A57" t="inlineStr">
        <is>
          <t>No</t>
        </is>
      </c>
      <c r="B57" t="inlineStr">
        <is>
          <t>BV1475.2 .C814 1979</t>
        </is>
      </c>
      <c r="C57" t="inlineStr">
        <is>
          <t>0                      BV 1475200C  814         1979</t>
        </is>
      </c>
      <c r="D57" t="inlineStr">
        <is>
          <t>Christian child development / Iris V. Cully.</t>
        </is>
      </c>
      <c r="F57" t="inlineStr">
        <is>
          <t>No</t>
        </is>
      </c>
      <c r="G57" t="inlineStr">
        <is>
          <t>1</t>
        </is>
      </c>
      <c r="H57" t="inlineStr">
        <is>
          <t>No</t>
        </is>
      </c>
      <c r="I57" t="inlineStr">
        <is>
          <t>No</t>
        </is>
      </c>
      <c r="J57" t="inlineStr">
        <is>
          <t>0</t>
        </is>
      </c>
      <c r="K57" t="inlineStr">
        <is>
          <t>Cully, Iris V.</t>
        </is>
      </c>
      <c r="L57" t="inlineStr">
        <is>
          <t>San Francisco : Harper &amp; Row, c1979.</t>
        </is>
      </c>
      <c r="M57" t="inlineStr">
        <is>
          <t>1979</t>
        </is>
      </c>
      <c r="N57" t="inlineStr">
        <is>
          <t>1st ed.</t>
        </is>
      </c>
      <c r="O57" t="inlineStr">
        <is>
          <t>eng</t>
        </is>
      </c>
      <c r="P57" t="inlineStr">
        <is>
          <t>cau</t>
        </is>
      </c>
      <c r="R57" t="inlineStr">
        <is>
          <t xml:space="preserve">BV </t>
        </is>
      </c>
      <c r="S57" t="n">
        <v>3</v>
      </c>
      <c r="T57" t="n">
        <v>3</v>
      </c>
      <c r="U57" t="inlineStr">
        <is>
          <t>1995-02-21</t>
        </is>
      </c>
      <c r="V57" t="inlineStr">
        <is>
          <t>1995-02-21</t>
        </is>
      </c>
      <c r="W57" t="inlineStr">
        <is>
          <t>1990-03-27</t>
        </is>
      </c>
      <c r="X57" t="inlineStr">
        <is>
          <t>1990-03-27</t>
        </is>
      </c>
      <c r="Y57" t="n">
        <v>429</v>
      </c>
      <c r="Z57" t="n">
        <v>391</v>
      </c>
      <c r="AA57" t="n">
        <v>421</v>
      </c>
      <c r="AB57" t="n">
        <v>2</v>
      </c>
      <c r="AC57" t="n">
        <v>2</v>
      </c>
      <c r="AD57" t="n">
        <v>16</v>
      </c>
      <c r="AE57" t="n">
        <v>19</v>
      </c>
      <c r="AF57" t="n">
        <v>4</v>
      </c>
      <c r="AG57" t="n">
        <v>6</v>
      </c>
      <c r="AH57" t="n">
        <v>7</v>
      </c>
      <c r="AI57" t="n">
        <v>7</v>
      </c>
      <c r="AJ57" t="n">
        <v>9</v>
      </c>
      <c r="AK57" t="n">
        <v>10</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HYPERLINK("https://creighton-primo.hosted.exlibrisgroup.com/primo-explore/search?tab=default_tab&amp;search_scope=EVERYTHING&amp;vid=01CRU&amp;lang=en_US&amp;offset=0&amp;query=any,contains,991004657559702656","Catalog Record")</f>
        <v/>
      </c>
      <c r="AT57">
        <f>HYPERLINK("http://www.worldcat.org/oclc/4495713","WorldCat Record")</f>
        <v/>
      </c>
      <c r="AU57" t="inlineStr">
        <is>
          <t>403706:eng</t>
        </is>
      </c>
      <c r="AV57" t="inlineStr">
        <is>
          <t>4495713</t>
        </is>
      </c>
      <c r="AW57" t="inlineStr">
        <is>
          <t>991004657559702656</t>
        </is>
      </c>
      <c r="AX57" t="inlineStr">
        <is>
          <t>991004657559702656</t>
        </is>
      </c>
      <c r="AY57" t="inlineStr">
        <is>
          <t>2268098940002656</t>
        </is>
      </c>
      <c r="AZ57" t="inlineStr">
        <is>
          <t>BOOK</t>
        </is>
      </c>
      <c r="BB57" t="inlineStr">
        <is>
          <t>9780060616489</t>
        </is>
      </c>
      <c r="BC57" t="inlineStr">
        <is>
          <t>32285000098334</t>
        </is>
      </c>
      <c r="BD57" t="inlineStr">
        <is>
          <t>893694177</t>
        </is>
      </c>
    </row>
    <row r="58">
      <c r="A58" t="inlineStr">
        <is>
          <t>No</t>
        </is>
      </c>
      <c r="B58" t="inlineStr">
        <is>
          <t>BV1475.2 .H339 1992</t>
        </is>
      </c>
      <c r="C58" t="inlineStr">
        <is>
          <t>0                      BV 1475200H  339         1992</t>
        </is>
      </c>
      <c r="D58" t="inlineStr">
        <is>
          <t>Handbook of children's religious education / edited by Donald Ratcliff.</t>
        </is>
      </c>
      <c r="F58" t="inlineStr">
        <is>
          <t>No</t>
        </is>
      </c>
      <c r="G58" t="inlineStr">
        <is>
          <t>1</t>
        </is>
      </c>
      <c r="H58" t="inlineStr">
        <is>
          <t>No</t>
        </is>
      </c>
      <c r="I58" t="inlineStr">
        <is>
          <t>No</t>
        </is>
      </c>
      <c r="J58" t="inlineStr">
        <is>
          <t>0</t>
        </is>
      </c>
      <c r="L58" t="inlineStr">
        <is>
          <t>Birmingham, Ala. : Religious Education Press, 1992.</t>
        </is>
      </c>
      <c r="M58" t="inlineStr">
        <is>
          <t>1992</t>
        </is>
      </c>
      <c r="O58" t="inlineStr">
        <is>
          <t>eng</t>
        </is>
      </c>
      <c r="P58" t="inlineStr">
        <is>
          <t>alu</t>
        </is>
      </c>
      <c r="R58" t="inlineStr">
        <is>
          <t xml:space="preserve">BV </t>
        </is>
      </c>
      <c r="S58" t="n">
        <v>8</v>
      </c>
      <c r="T58" t="n">
        <v>8</v>
      </c>
      <c r="U58" t="inlineStr">
        <is>
          <t>2000-08-31</t>
        </is>
      </c>
      <c r="V58" t="inlineStr">
        <is>
          <t>2000-08-31</t>
        </is>
      </c>
      <c r="W58" t="inlineStr">
        <is>
          <t>1992-05-05</t>
        </is>
      </c>
      <c r="X58" t="inlineStr">
        <is>
          <t>1992-05-05</t>
        </is>
      </c>
      <c r="Y58" t="n">
        <v>319</v>
      </c>
      <c r="Z58" t="n">
        <v>266</v>
      </c>
      <c r="AA58" t="n">
        <v>272</v>
      </c>
      <c r="AB58" t="n">
        <v>6</v>
      </c>
      <c r="AC58" t="n">
        <v>6</v>
      </c>
      <c r="AD58" t="n">
        <v>23</v>
      </c>
      <c r="AE58" t="n">
        <v>23</v>
      </c>
      <c r="AF58" t="n">
        <v>9</v>
      </c>
      <c r="AG58" t="n">
        <v>9</v>
      </c>
      <c r="AH58" t="n">
        <v>4</v>
      </c>
      <c r="AI58" t="n">
        <v>4</v>
      </c>
      <c r="AJ58" t="n">
        <v>10</v>
      </c>
      <c r="AK58" t="n">
        <v>10</v>
      </c>
      <c r="AL58" t="n">
        <v>5</v>
      </c>
      <c r="AM58" t="n">
        <v>5</v>
      </c>
      <c r="AN58" t="n">
        <v>0</v>
      </c>
      <c r="AO58" t="n">
        <v>0</v>
      </c>
      <c r="AP58" t="inlineStr">
        <is>
          <t>No</t>
        </is>
      </c>
      <c r="AQ58" t="inlineStr">
        <is>
          <t>No</t>
        </is>
      </c>
      <c r="AS58">
        <f>HYPERLINK("https://creighton-primo.hosted.exlibrisgroup.com/primo-explore/search?tab=default_tab&amp;search_scope=EVERYTHING&amp;vid=01CRU&amp;lang=en_US&amp;offset=0&amp;query=any,contains,991001973199702656","Catalog Record")</f>
        <v/>
      </c>
      <c r="AT58">
        <f>HYPERLINK("http://www.worldcat.org/oclc/25025870","WorldCat Record")</f>
        <v/>
      </c>
      <c r="AU58" t="inlineStr">
        <is>
          <t>27160353:eng</t>
        </is>
      </c>
      <c r="AV58" t="inlineStr">
        <is>
          <t>25025870</t>
        </is>
      </c>
      <c r="AW58" t="inlineStr">
        <is>
          <t>991001973199702656</t>
        </is>
      </c>
      <c r="AX58" t="inlineStr">
        <is>
          <t>991001973199702656</t>
        </is>
      </c>
      <c r="AY58" t="inlineStr">
        <is>
          <t>2264226320002656</t>
        </is>
      </c>
      <c r="AZ58" t="inlineStr">
        <is>
          <t>BOOK</t>
        </is>
      </c>
      <c r="BB58" t="inlineStr">
        <is>
          <t>9780891350859</t>
        </is>
      </c>
      <c r="BC58" t="inlineStr">
        <is>
          <t>32285001069375</t>
        </is>
      </c>
      <c r="BD58" t="inlineStr">
        <is>
          <t>893715904</t>
        </is>
      </c>
    </row>
    <row r="59">
      <c r="A59" t="inlineStr">
        <is>
          <t>No</t>
        </is>
      </c>
      <c r="B59" t="inlineStr">
        <is>
          <t>BV1475.2 .M34 1952</t>
        </is>
      </c>
      <c r="C59" t="inlineStr">
        <is>
          <t>0                      BV 1475200M  34          1952</t>
        </is>
      </c>
      <c r="D59" t="inlineStr">
        <is>
          <t>The development of the idea of God in the Catholic child / John B. McDowell.</t>
        </is>
      </c>
      <c r="F59" t="inlineStr">
        <is>
          <t>No</t>
        </is>
      </c>
      <c r="G59" t="inlineStr">
        <is>
          <t>1</t>
        </is>
      </c>
      <c r="H59" t="inlineStr">
        <is>
          <t>No</t>
        </is>
      </c>
      <c r="I59" t="inlineStr">
        <is>
          <t>No</t>
        </is>
      </c>
      <c r="J59" t="inlineStr">
        <is>
          <t>0</t>
        </is>
      </c>
      <c r="K59" t="inlineStr">
        <is>
          <t>McDowell, John B., 1921-</t>
        </is>
      </c>
      <c r="L59" t="inlineStr">
        <is>
          <t>Washington : Catholic University of America Press, 1952.</t>
        </is>
      </c>
      <c r="M59" t="inlineStr">
        <is>
          <t>1952</t>
        </is>
      </c>
      <c r="O59" t="inlineStr">
        <is>
          <t>eng</t>
        </is>
      </c>
      <c r="P59" t="inlineStr">
        <is>
          <t>dcu</t>
        </is>
      </c>
      <c r="Q59" t="inlineStr">
        <is>
          <t>Catholic University of America. Educational research monographs, v. 17, no. 1</t>
        </is>
      </c>
      <c r="R59" t="inlineStr">
        <is>
          <t xml:space="preserve">BV </t>
        </is>
      </c>
      <c r="S59" t="n">
        <v>1</v>
      </c>
      <c r="T59" t="n">
        <v>1</v>
      </c>
      <c r="U59" t="inlineStr">
        <is>
          <t>1992-04-06</t>
        </is>
      </c>
      <c r="V59" t="inlineStr">
        <is>
          <t>1992-04-06</t>
        </is>
      </c>
      <c r="W59" t="inlineStr">
        <is>
          <t>1992-01-31</t>
        </is>
      </c>
      <c r="X59" t="inlineStr">
        <is>
          <t>1992-01-31</t>
        </is>
      </c>
      <c r="Y59" t="n">
        <v>82</v>
      </c>
      <c r="Z59" t="n">
        <v>77</v>
      </c>
      <c r="AA59" t="n">
        <v>79</v>
      </c>
      <c r="AB59" t="n">
        <v>1</v>
      </c>
      <c r="AC59" t="n">
        <v>1</v>
      </c>
      <c r="AD59" t="n">
        <v>14</v>
      </c>
      <c r="AE59" t="n">
        <v>14</v>
      </c>
      <c r="AF59" t="n">
        <v>4</v>
      </c>
      <c r="AG59" t="n">
        <v>4</v>
      </c>
      <c r="AH59" t="n">
        <v>4</v>
      </c>
      <c r="AI59" t="n">
        <v>4</v>
      </c>
      <c r="AJ59" t="n">
        <v>11</v>
      </c>
      <c r="AK59" t="n">
        <v>11</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HYPERLINK("https://creighton-primo.hosted.exlibrisgroup.com/primo-explore/search?tab=default_tab&amp;search_scope=EVERYTHING&amp;vid=01CRU&amp;lang=en_US&amp;offset=0&amp;query=any,contains,991003999129702656","Catalog Record")</f>
        <v/>
      </c>
      <c r="AT59">
        <f>HYPERLINK("http://www.worldcat.org/oclc/2070870","WorldCat Record")</f>
        <v/>
      </c>
      <c r="AU59" t="inlineStr">
        <is>
          <t>355795205:eng</t>
        </is>
      </c>
      <c r="AV59" t="inlineStr">
        <is>
          <t>2070870</t>
        </is>
      </c>
      <c r="AW59" t="inlineStr">
        <is>
          <t>991003999129702656</t>
        </is>
      </c>
      <c r="AX59" t="inlineStr">
        <is>
          <t>991003999129702656</t>
        </is>
      </c>
      <c r="AY59" t="inlineStr">
        <is>
          <t>2256820620002656</t>
        </is>
      </c>
      <c r="AZ59" t="inlineStr">
        <is>
          <t>BOOK</t>
        </is>
      </c>
      <c r="BC59" t="inlineStr">
        <is>
          <t>32285000926641</t>
        </is>
      </c>
      <c r="BD59" t="inlineStr">
        <is>
          <t>893618094</t>
        </is>
      </c>
    </row>
    <row r="60">
      <c r="A60" t="inlineStr">
        <is>
          <t>No</t>
        </is>
      </c>
      <c r="B60" t="inlineStr">
        <is>
          <t>BV1475.2 .M5613 1969</t>
        </is>
      </c>
      <c r="C60" t="inlineStr">
        <is>
          <t>0                      BV 1475200M  5613        1969</t>
        </is>
      </c>
      <c r="D60" t="inlineStr">
        <is>
          <t>Children and adolescents, our teachers / André Merlaud. Translated by Theodore DuBois.</t>
        </is>
      </c>
      <c r="F60" t="inlineStr">
        <is>
          <t>No</t>
        </is>
      </c>
      <c r="G60" t="inlineStr">
        <is>
          <t>1</t>
        </is>
      </c>
      <c r="H60" t="inlineStr">
        <is>
          <t>No</t>
        </is>
      </c>
      <c r="I60" t="inlineStr">
        <is>
          <t>No</t>
        </is>
      </c>
      <c r="J60" t="inlineStr">
        <is>
          <t>0</t>
        </is>
      </c>
      <c r="K60" t="inlineStr">
        <is>
          <t>Merlaud, André.</t>
        </is>
      </c>
      <c r="L60" t="inlineStr">
        <is>
          <t>Paramus, N.J. : [Paulist Press, 1969]</t>
        </is>
      </c>
      <c r="M60" t="inlineStr">
        <is>
          <t>1969</t>
        </is>
      </c>
      <c r="O60" t="inlineStr">
        <is>
          <t>eng</t>
        </is>
      </c>
      <c r="P60" t="inlineStr">
        <is>
          <t>nju</t>
        </is>
      </c>
      <c r="Q60" t="inlineStr">
        <is>
          <t>Paulist Press Deus books</t>
        </is>
      </c>
      <c r="R60" t="inlineStr">
        <is>
          <t xml:space="preserve">BV </t>
        </is>
      </c>
      <c r="S60" t="n">
        <v>2</v>
      </c>
      <c r="T60" t="n">
        <v>2</v>
      </c>
      <c r="U60" t="inlineStr">
        <is>
          <t>1992-04-09</t>
        </is>
      </c>
      <c r="V60" t="inlineStr">
        <is>
          <t>1992-04-09</t>
        </is>
      </c>
      <c r="W60" t="inlineStr">
        <is>
          <t>1992-01-31</t>
        </is>
      </c>
      <c r="X60" t="inlineStr">
        <is>
          <t>1992-01-31</t>
        </is>
      </c>
      <c r="Y60" t="n">
        <v>34</v>
      </c>
      <c r="Z60" t="n">
        <v>31</v>
      </c>
      <c r="AA60" t="n">
        <v>31</v>
      </c>
      <c r="AB60" t="n">
        <v>2</v>
      </c>
      <c r="AC60" t="n">
        <v>2</v>
      </c>
      <c r="AD60" t="n">
        <v>7</v>
      </c>
      <c r="AE60" t="n">
        <v>7</v>
      </c>
      <c r="AF60" t="n">
        <v>0</v>
      </c>
      <c r="AG60" t="n">
        <v>0</v>
      </c>
      <c r="AH60" t="n">
        <v>1</v>
      </c>
      <c r="AI60" t="n">
        <v>1</v>
      </c>
      <c r="AJ60" t="n">
        <v>5</v>
      </c>
      <c r="AK60" t="n">
        <v>5</v>
      </c>
      <c r="AL60" t="n">
        <v>1</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HYPERLINK("https://creighton-primo.hosted.exlibrisgroup.com/primo-explore/search?tab=default_tab&amp;search_scope=EVERYTHING&amp;vid=01CRU&amp;lang=en_US&amp;offset=0&amp;query=any,contains,991000083629702656","Catalog Record")</f>
        <v/>
      </c>
      <c r="AT60">
        <f>HYPERLINK("http://www.worldcat.org/oclc/32599","WorldCat Record")</f>
        <v/>
      </c>
      <c r="AU60" t="inlineStr">
        <is>
          <t>1186687:eng</t>
        </is>
      </c>
      <c r="AV60" t="inlineStr">
        <is>
          <t>32599</t>
        </is>
      </c>
      <c r="AW60" t="inlineStr">
        <is>
          <t>991000083629702656</t>
        </is>
      </c>
      <c r="AX60" t="inlineStr">
        <is>
          <t>991000083629702656</t>
        </is>
      </c>
      <c r="AY60" t="inlineStr">
        <is>
          <t>2258301220002656</t>
        </is>
      </c>
      <c r="AZ60" t="inlineStr">
        <is>
          <t>BOOK</t>
        </is>
      </c>
      <c r="BC60" t="inlineStr">
        <is>
          <t>32285000926658</t>
        </is>
      </c>
      <c r="BD60" t="inlineStr">
        <is>
          <t>893242969</t>
        </is>
      </c>
    </row>
    <row r="61">
      <c r="A61" t="inlineStr">
        <is>
          <t>No</t>
        </is>
      </c>
      <c r="B61" t="inlineStr">
        <is>
          <t>BV1475.2 .O33 1973</t>
        </is>
      </c>
      <c r="C61" t="inlineStr">
        <is>
          <t>0                      BV 1475200O  33          1973</t>
        </is>
      </c>
      <c r="D61" t="inlineStr">
        <is>
          <t>The religious formation of the elementary school child / [by] E. F. O'Doherty.</t>
        </is>
      </c>
      <c r="F61" t="inlineStr">
        <is>
          <t>No</t>
        </is>
      </c>
      <c r="G61" t="inlineStr">
        <is>
          <t>1</t>
        </is>
      </c>
      <c r="H61" t="inlineStr">
        <is>
          <t>No</t>
        </is>
      </c>
      <c r="I61" t="inlineStr">
        <is>
          <t>No</t>
        </is>
      </c>
      <c r="J61" t="inlineStr">
        <is>
          <t>0</t>
        </is>
      </c>
      <c r="K61" t="inlineStr">
        <is>
          <t>O'Doherty, Eamonn Feichin.</t>
        </is>
      </c>
      <c r="L61" t="inlineStr">
        <is>
          <t>New York : Alba House, [1973]</t>
        </is>
      </c>
      <c r="M61" t="inlineStr">
        <is>
          <t>1973</t>
        </is>
      </c>
      <c r="O61" t="inlineStr">
        <is>
          <t>eng</t>
        </is>
      </c>
      <c r="P61" t="inlineStr">
        <is>
          <t>nyu</t>
        </is>
      </c>
      <c r="R61" t="inlineStr">
        <is>
          <t xml:space="preserve">BV </t>
        </is>
      </c>
      <c r="S61" t="n">
        <v>1</v>
      </c>
      <c r="T61" t="n">
        <v>1</v>
      </c>
      <c r="U61" t="inlineStr">
        <is>
          <t>1992-04-09</t>
        </is>
      </c>
      <c r="V61" t="inlineStr">
        <is>
          <t>1992-04-09</t>
        </is>
      </c>
      <c r="W61" t="inlineStr">
        <is>
          <t>1992-01-31</t>
        </is>
      </c>
      <c r="X61" t="inlineStr">
        <is>
          <t>1992-01-31</t>
        </is>
      </c>
      <c r="Y61" t="n">
        <v>149</v>
      </c>
      <c r="Z61" t="n">
        <v>126</v>
      </c>
      <c r="AA61" t="n">
        <v>127</v>
      </c>
      <c r="AB61" t="n">
        <v>2</v>
      </c>
      <c r="AC61" t="n">
        <v>2</v>
      </c>
      <c r="AD61" t="n">
        <v>15</v>
      </c>
      <c r="AE61" t="n">
        <v>15</v>
      </c>
      <c r="AF61" t="n">
        <v>3</v>
      </c>
      <c r="AG61" t="n">
        <v>3</v>
      </c>
      <c r="AH61" t="n">
        <v>2</v>
      </c>
      <c r="AI61" t="n">
        <v>2</v>
      </c>
      <c r="AJ61" t="n">
        <v>11</v>
      </c>
      <c r="AK61" t="n">
        <v>11</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HYPERLINK("https://creighton-primo.hosted.exlibrisgroup.com/primo-explore/search?tab=default_tab&amp;search_scope=EVERYTHING&amp;vid=01CRU&amp;lang=en_US&amp;offset=0&amp;query=any,contains,991002896829702656","Catalog Record")</f>
        <v/>
      </c>
      <c r="AT61">
        <f>HYPERLINK("http://www.worldcat.org/oclc/514633","WorldCat Record")</f>
        <v/>
      </c>
      <c r="AU61" t="inlineStr">
        <is>
          <t>1487801:eng</t>
        </is>
      </c>
      <c r="AV61" t="inlineStr">
        <is>
          <t>514633</t>
        </is>
      </c>
      <c r="AW61" t="inlineStr">
        <is>
          <t>991002896829702656</t>
        </is>
      </c>
      <c r="AX61" t="inlineStr">
        <is>
          <t>991002896829702656</t>
        </is>
      </c>
      <c r="AY61" t="inlineStr">
        <is>
          <t>2262025850002656</t>
        </is>
      </c>
      <c r="AZ61" t="inlineStr">
        <is>
          <t>BOOK</t>
        </is>
      </c>
      <c r="BB61" t="inlineStr">
        <is>
          <t>9780818902611</t>
        </is>
      </c>
      <c r="BC61" t="inlineStr">
        <is>
          <t>32285000926930</t>
        </is>
      </c>
      <c r="BD61" t="inlineStr">
        <is>
          <t>893524172</t>
        </is>
      </c>
    </row>
    <row r="62">
      <c r="A62" t="inlineStr">
        <is>
          <t>No</t>
        </is>
      </c>
      <c r="B62" t="inlineStr">
        <is>
          <t>BV1475.2 .P75 1964</t>
        </is>
      </c>
      <c r="C62" t="inlineStr">
        <is>
          <t>0                      BV 1475200P  75          1964</t>
        </is>
      </c>
      <c r="D62" t="inlineStr">
        <is>
          <t>Teaching primary children in the church / by Gertrude Priester.</t>
        </is>
      </c>
      <c r="F62" t="inlineStr">
        <is>
          <t>No</t>
        </is>
      </c>
      <c r="G62" t="inlineStr">
        <is>
          <t>1</t>
        </is>
      </c>
      <c r="H62" t="inlineStr">
        <is>
          <t>No</t>
        </is>
      </c>
      <c r="I62" t="inlineStr">
        <is>
          <t>No</t>
        </is>
      </c>
      <c r="J62" t="inlineStr">
        <is>
          <t>0</t>
        </is>
      </c>
      <c r="K62" t="inlineStr">
        <is>
          <t>Priester, Gertrude Ann.</t>
        </is>
      </c>
      <c r="L62" t="inlineStr">
        <is>
          <t>Philadelphia : Geneva Press, c1964.</t>
        </is>
      </c>
      <c r="M62" t="inlineStr">
        <is>
          <t>1964</t>
        </is>
      </c>
      <c r="O62" t="inlineStr">
        <is>
          <t>eng</t>
        </is>
      </c>
      <c r="P62" t="inlineStr">
        <is>
          <t xml:space="preserve">xx </t>
        </is>
      </c>
      <c r="R62" t="inlineStr">
        <is>
          <t xml:space="preserve">BV </t>
        </is>
      </c>
      <c r="S62" t="n">
        <v>1</v>
      </c>
      <c r="T62" t="n">
        <v>1</v>
      </c>
      <c r="U62" t="inlineStr">
        <is>
          <t>1992-04-09</t>
        </is>
      </c>
      <c r="V62" t="inlineStr">
        <is>
          <t>1992-04-09</t>
        </is>
      </c>
      <c r="W62" t="inlineStr">
        <is>
          <t>1992-01-31</t>
        </is>
      </c>
      <c r="X62" t="inlineStr">
        <is>
          <t>1992-01-31</t>
        </is>
      </c>
      <c r="Y62" t="n">
        <v>61</v>
      </c>
      <c r="Z62" t="n">
        <v>58</v>
      </c>
      <c r="AA62" t="n">
        <v>58</v>
      </c>
      <c r="AB62" t="n">
        <v>2</v>
      </c>
      <c r="AC62" t="n">
        <v>2</v>
      </c>
      <c r="AD62" t="n">
        <v>2</v>
      </c>
      <c r="AE62" t="n">
        <v>2</v>
      </c>
      <c r="AF62" t="n">
        <v>0</v>
      </c>
      <c r="AG62" t="n">
        <v>0</v>
      </c>
      <c r="AH62" t="n">
        <v>0</v>
      </c>
      <c r="AI62" t="n">
        <v>0</v>
      </c>
      <c r="AJ62" t="n">
        <v>1</v>
      </c>
      <c r="AK62" t="n">
        <v>1</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HYPERLINK("https://creighton-primo.hosted.exlibrisgroup.com/primo-explore/search?tab=default_tab&amp;search_scope=EVERYTHING&amp;vid=01CRU&amp;lang=en_US&amp;offset=0&amp;query=any,contains,991003388269702656","Catalog Record")</f>
        <v/>
      </c>
      <c r="AT62">
        <f>HYPERLINK("http://www.worldcat.org/oclc/924997","WorldCat Record")</f>
        <v/>
      </c>
      <c r="AU62" t="inlineStr">
        <is>
          <t>1872818:eng</t>
        </is>
      </c>
      <c r="AV62" t="inlineStr">
        <is>
          <t>924997</t>
        </is>
      </c>
      <c r="AW62" t="inlineStr">
        <is>
          <t>991003388269702656</t>
        </is>
      </c>
      <c r="AX62" t="inlineStr">
        <is>
          <t>991003388269702656</t>
        </is>
      </c>
      <c r="AY62" t="inlineStr">
        <is>
          <t>2264372060002656</t>
        </is>
      </c>
      <c r="AZ62" t="inlineStr">
        <is>
          <t>BOOK</t>
        </is>
      </c>
      <c r="BC62" t="inlineStr">
        <is>
          <t>32285000926674</t>
        </is>
      </c>
      <c r="BD62" t="inlineStr">
        <is>
          <t>893234120</t>
        </is>
      </c>
    </row>
    <row r="63">
      <c r="A63" t="inlineStr">
        <is>
          <t>No</t>
        </is>
      </c>
      <c r="B63" t="inlineStr">
        <is>
          <t>BV1475.2 .W67</t>
        </is>
      </c>
      <c r="C63" t="inlineStr">
        <is>
          <t>0                      BV 1475200W  67</t>
        </is>
      </c>
      <c r="D63" t="inlineStr">
        <is>
          <t>World faiths in education / edited by W. Owen Cole. --</t>
        </is>
      </c>
      <c r="F63" t="inlineStr">
        <is>
          <t>No</t>
        </is>
      </c>
      <c r="G63" t="inlineStr">
        <is>
          <t>1</t>
        </is>
      </c>
      <c r="H63" t="inlineStr">
        <is>
          <t>No</t>
        </is>
      </c>
      <c r="I63" t="inlineStr">
        <is>
          <t>No</t>
        </is>
      </c>
      <c r="J63" t="inlineStr">
        <is>
          <t>0</t>
        </is>
      </c>
      <c r="L63" t="inlineStr">
        <is>
          <t>London ; Boston : G. Allen &amp; Urwin, 1978.</t>
        </is>
      </c>
      <c r="M63" t="inlineStr">
        <is>
          <t>1978</t>
        </is>
      </c>
      <c r="O63" t="inlineStr">
        <is>
          <t>eng</t>
        </is>
      </c>
      <c r="P63" t="inlineStr">
        <is>
          <t>enk</t>
        </is>
      </c>
      <c r="Q63" t="inlineStr">
        <is>
          <t>Unwin education books</t>
        </is>
      </c>
      <c r="R63" t="inlineStr">
        <is>
          <t xml:space="preserve">BV </t>
        </is>
      </c>
      <c r="S63" t="n">
        <v>2</v>
      </c>
      <c r="T63" t="n">
        <v>2</v>
      </c>
      <c r="U63" t="inlineStr">
        <is>
          <t>1992-04-09</t>
        </is>
      </c>
      <c r="V63" t="inlineStr">
        <is>
          <t>1992-04-09</t>
        </is>
      </c>
      <c r="W63" t="inlineStr">
        <is>
          <t>1992-01-31</t>
        </is>
      </c>
      <c r="X63" t="inlineStr">
        <is>
          <t>1992-01-31</t>
        </is>
      </c>
      <c r="Y63" t="n">
        <v>89</v>
      </c>
      <c r="Z63" t="n">
        <v>75</v>
      </c>
      <c r="AA63" t="n">
        <v>198</v>
      </c>
      <c r="AB63" t="n">
        <v>2</v>
      </c>
      <c r="AC63" t="n">
        <v>2</v>
      </c>
      <c r="AD63" t="n">
        <v>3</v>
      </c>
      <c r="AE63" t="n">
        <v>6</v>
      </c>
      <c r="AF63" t="n">
        <v>0</v>
      </c>
      <c r="AG63" t="n">
        <v>2</v>
      </c>
      <c r="AH63" t="n">
        <v>0</v>
      </c>
      <c r="AI63" t="n">
        <v>2</v>
      </c>
      <c r="AJ63" t="n">
        <v>2</v>
      </c>
      <c r="AK63" t="n">
        <v>2</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HYPERLINK("https://creighton-primo.hosted.exlibrisgroup.com/primo-explore/search?tab=default_tab&amp;search_scope=EVERYTHING&amp;vid=01CRU&amp;lang=en_US&amp;offset=0&amp;query=any,contains,991004625319702656","Catalog Record")</f>
        <v/>
      </c>
      <c r="AT63">
        <f>HYPERLINK("http://www.worldcat.org/oclc/4334636","WorldCat Record")</f>
        <v/>
      </c>
      <c r="AU63" t="inlineStr">
        <is>
          <t>54253039:eng</t>
        </is>
      </c>
      <c r="AV63" t="inlineStr">
        <is>
          <t>4334636</t>
        </is>
      </c>
      <c r="AW63" t="inlineStr">
        <is>
          <t>991004625319702656</t>
        </is>
      </c>
      <c r="AX63" t="inlineStr">
        <is>
          <t>991004625319702656</t>
        </is>
      </c>
      <c r="AY63" t="inlineStr">
        <is>
          <t>2266637970002656</t>
        </is>
      </c>
      <c r="AZ63" t="inlineStr">
        <is>
          <t>BOOK</t>
        </is>
      </c>
      <c r="BB63" t="inlineStr">
        <is>
          <t>9780043710548</t>
        </is>
      </c>
      <c r="BC63" t="inlineStr">
        <is>
          <t>32285000926690</t>
        </is>
      </c>
      <c r="BD63" t="inlineStr">
        <is>
          <t>893259944</t>
        </is>
      </c>
    </row>
    <row r="64">
      <c r="A64" t="inlineStr">
        <is>
          <t>No</t>
        </is>
      </c>
      <c r="B64" t="inlineStr">
        <is>
          <t>BV1475.8 .L413 1963</t>
        </is>
      </c>
      <c r="C64" t="inlineStr">
        <is>
          <t>0                      BV 1475800L  413         1963</t>
        </is>
      </c>
      <c r="D64" t="inlineStr">
        <is>
          <t>Bringing your child to God : the religious education of the pre-school child / [by] Xavier Lefebvre and Louis Perin. Translated by Marta Gondos.</t>
        </is>
      </c>
      <c r="F64" t="inlineStr">
        <is>
          <t>No</t>
        </is>
      </c>
      <c r="G64" t="inlineStr">
        <is>
          <t>1</t>
        </is>
      </c>
      <c r="H64" t="inlineStr">
        <is>
          <t>No</t>
        </is>
      </c>
      <c r="I64" t="inlineStr">
        <is>
          <t>No</t>
        </is>
      </c>
      <c r="J64" t="inlineStr">
        <is>
          <t>0</t>
        </is>
      </c>
      <c r="K64" t="inlineStr">
        <is>
          <t>Lefebvre, Xavier.</t>
        </is>
      </c>
      <c r="L64" t="inlineStr">
        <is>
          <t>New York : P. J. Kenedy, [1963]</t>
        </is>
      </c>
      <c r="M64" t="inlineStr">
        <is>
          <t>1963</t>
        </is>
      </c>
      <c r="O64" t="inlineStr">
        <is>
          <t>eng</t>
        </is>
      </c>
      <c r="P64" t="inlineStr">
        <is>
          <t>nyu</t>
        </is>
      </c>
      <c r="R64" t="inlineStr">
        <is>
          <t xml:space="preserve">BV </t>
        </is>
      </c>
      <c r="S64" t="n">
        <v>2</v>
      </c>
      <c r="T64" t="n">
        <v>2</v>
      </c>
      <c r="U64" t="inlineStr">
        <is>
          <t>2000-12-02</t>
        </is>
      </c>
      <c r="V64" t="inlineStr">
        <is>
          <t>2000-12-02</t>
        </is>
      </c>
      <c r="W64" t="inlineStr">
        <is>
          <t>1992-01-31</t>
        </is>
      </c>
      <c r="X64" t="inlineStr">
        <is>
          <t>1992-01-31</t>
        </is>
      </c>
      <c r="Y64" t="n">
        <v>95</v>
      </c>
      <c r="Z64" t="n">
        <v>85</v>
      </c>
      <c r="AA64" t="n">
        <v>92</v>
      </c>
      <c r="AB64" t="n">
        <v>1</v>
      </c>
      <c r="AC64" t="n">
        <v>1</v>
      </c>
      <c r="AD64" t="n">
        <v>13</v>
      </c>
      <c r="AE64" t="n">
        <v>14</v>
      </c>
      <c r="AF64" t="n">
        <v>3</v>
      </c>
      <c r="AG64" t="n">
        <v>3</v>
      </c>
      <c r="AH64" t="n">
        <v>4</v>
      </c>
      <c r="AI64" t="n">
        <v>4</v>
      </c>
      <c r="AJ64" t="n">
        <v>10</v>
      </c>
      <c r="AK64" t="n">
        <v>11</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HYPERLINK("https://creighton-primo.hosted.exlibrisgroup.com/primo-explore/search?tab=default_tab&amp;search_scope=EVERYTHING&amp;vid=01CRU&amp;lang=en_US&amp;offset=0&amp;query=any,contains,991004216459702656","Catalog Record")</f>
        <v/>
      </c>
      <c r="AT64">
        <f>HYPERLINK("http://www.worldcat.org/oclc/2696734","WorldCat Record")</f>
        <v/>
      </c>
      <c r="AU64" t="inlineStr">
        <is>
          <t>432362317:eng</t>
        </is>
      </c>
      <c r="AV64" t="inlineStr">
        <is>
          <t>2696734</t>
        </is>
      </c>
      <c r="AW64" t="inlineStr">
        <is>
          <t>991004216459702656</t>
        </is>
      </c>
      <c r="AX64" t="inlineStr">
        <is>
          <t>991004216459702656</t>
        </is>
      </c>
      <c r="AY64" t="inlineStr">
        <is>
          <t>2265193530002656</t>
        </is>
      </c>
      <c r="AZ64" t="inlineStr">
        <is>
          <t>BOOK</t>
        </is>
      </c>
      <c r="BC64" t="inlineStr">
        <is>
          <t>32285000926708</t>
        </is>
      </c>
      <c r="BD64" t="inlineStr">
        <is>
          <t>893794613</t>
        </is>
      </c>
    </row>
    <row r="65">
      <c r="A65" t="inlineStr">
        <is>
          <t>No</t>
        </is>
      </c>
      <c r="B65" t="inlineStr">
        <is>
          <t>BV1475.9 .A7813 1968</t>
        </is>
      </c>
      <c r="C65" t="inlineStr">
        <is>
          <t>0                      BV 1475900A  7813        1968</t>
        </is>
      </c>
      <c r="D65" t="inlineStr">
        <is>
          <t>Forming the faith of adolescents / Jacques Audinet. Pref. by Gabriel Moran.</t>
        </is>
      </c>
      <c r="F65" t="inlineStr">
        <is>
          <t>No</t>
        </is>
      </c>
      <c r="G65" t="inlineStr">
        <is>
          <t>1</t>
        </is>
      </c>
      <c r="H65" t="inlineStr">
        <is>
          <t>No</t>
        </is>
      </c>
      <c r="I65" t="inlineStr">
        <is>
          <t>No</t>
        </is>
      </c>
      <c r="J65" t="inlineStr">
        <is>
          <t>0</t>
        </is>
      </c>
      <c r="K65" t="inlineStr">
        <is>
          <t>Audinet, Jacques.</t>
        </is>
      </c>
      <c r="L65" t="inlineStr">
        <is>
          <t>[New York] : Herder and Herder, [1968]</t>
        </is>
      </c>
      <c r="M65" t="inlineStr">
        <is>
          <t>1968</t>
        </is>
      </c>
      <c r="O65" t="inlineStr">
        <is>
          <t>eng</t>
        </is>
      </c>
      <c r="P65" t="inlineStr">
        <is>
          <t>nyu</t>
        </is>
      </c>
      <c r="R65" t="inlineStr">
        <is>
          <t xml:space="preserve">BV </t>
        </is>
      </c>
      <c r="S65" t="n">
        <v>4</v>
      </c>
      <c r="T65" t="n">
        <v>4</v>
      </c>
      <c r="U65" t="inlineStr">
        <is>
          <t>2000-12-02</t>
        </is>
      </c>
      <c r="V65" t="inlineStr">
        <is>
          <t>2000-12-02</t>
        </is>
      </c>
      <c r="W65" t="inlineStr">
        <is>
          <t>1990-05-01</t>
        </is>
      </c>
      <c r="X65" t="inlineStr">
        <is>
          <t>1990-05-01</t>
        </is>
      </c>
      <c r="Y65" t="n">
        <v>162</v>
      </c>
      <c r="Z65" t="n">
        <v>144</v>
      </c>
      <c r="AA65" t="n">
        <v>149</v>
      </c>
      <c r="AB65" t="n">
        <v>2</v>
      </c>
      <c r="AC65" t="n">
        <v>2</v>
      </c>
      <c r="AD65" t="n">
        <v>19</v>
      </c>
      <c r="AE65" t="n">
        <v>19</v>
      </c>
      <c r="AF65" t="n">
        <v>3</v>
      </c>
      <c r="AG65" t="n">
        <v>3</v>
      </c>
      <c r="AH65" t="n">
        <v>4</v>
      </c>
      <c r="AI65" t="n">
        <v>4</v>
      </c>
      <c r="AJ65" t="n">
        <v>14</v>
      </c>
      <c r="AK65" t="n">
        <v>14</v>
      </c>
      <c r="AL65" t="n">
        <v>1</v>
      </c>
      <c r="AM65" t="n">
        <v>1</v>
      </c>
      <c r="AN65" t="n">
        <v>0</v>
      </c>
      <c r="AO65" t="n">
        <v>0</v>
      </c>
      <c r="AP65" t="inlineStr">
        <is>
          <t>No</t>
        </is>
      </c>
      <c r="AQ65" t="inlineStr">
        <is>
          <t>Yes</t>
        </is>
      </c>
      <c r="AR65">
        <f>HYPERLINK("http://catalog.hathitrust.org/Record/009974587","HathiTrust Record")</f>
        <v/>
      </c>
      <c r="AS65">
        <f>HYPERLINK("https://creighton-primo.hosted.exlibrisgroup.com/primo-explore/search?tab=default_tab&amp;search_scope=EVERYTHING&amp;vid=01CRU&amp;lang=en_US&amp;offset=0&amp;query=any,contains,991002765159702656","Catalog Record")</f>
        <v/>
      </c>
      <c r="AT65">
        <f>HYPERLINK("http://www.worldcat.org/oclc/432794","WorldCat Record")</f>
        <v/>
      </c>
      <c r="AU65" t="inlineStr">
        <is>
          <t>1542919:eng</t>
        </is>
      </c>
      <c r="AV65" t="inlineStr">
        <is>
          <t>432794</t>
        </is>
      </c>
      <c r="AW65" t="inlineStr">
        <is>
          <t>991002765159702656</t>
        </is>
      </c>
      <c r="AX65" t="inlineStr">
        <is>
          <t>991002765159702656</t>
        </is>
      </c>
      <c r="AY65" t="inlineStr">
        <is>
          <t>2272626540002656</t>
        </is>
      </c>
      <c r="AZ65" t="inlineStr">
        <is>
          <t>BOOK</t>
        </is>
      </c>
      <c r="BC65" t="inlineStr">
        <is>
          <t>32285000145630</t>
        </is>
      </c>
      <c r="BD65" t="inlineStr">
        <is>
          <t>893329510</t>
        </is>
      </c>
    </row>
    <row r="66">
      <c r="A66" t="inlineStr">
        <is>
          <t>No</t>
        </is>
      </c>
      <c r="B66" t="inlineStr">
        <is>
          <t>BV1475.9 .B293 1965</t>
        </is>
      </c>
      <c r="C66" t="inlineStr">
        <is>
          <t>0                      BV 1475900B  293         1965</t>
        </is>
      </c>
      <c r="D66" t="inlineStr">
        <is>
          <t>Faith and the adolescent / Pierre Babin. [Translated by David Gibson.</t>
        </is>
      </c>
      <c r="F66" t="inlineStr">
        <is>
          <t>No</t>
        </is>
      </c>
      <c r="G66" t="inlineStr">
        <is>
          <t>1</t>
        </is>
      </c>
      <c r="H66" t="inlineStr">
        <is>
          <t>No</t>
        </is>
      </c>
      <c r="I66" t="inlineStr">
        <is>
          <t>No</t>
        </is>
      </c>
      <c r="J66" t="inlineStr">
        <is>
          <t>0</t>
        </is>
      </c>
      <c r="K66" t="inlineStr">
        <is>
          <t>Babin, Pierre.</t>
        </is>
      </c>
      <c r="L66" t="inlineStr">
        <is>
          <t>New York] : Herder and Herder, [1965]</t>
        </is>
      </c>
      <c r="M66" t="inlineStr">
        <is>
          <t>1965</t>
        </is>
      </c>
      <c r="O66" t="inlineStr">
        <is>
          <t>eng</t>
        </is>
      </c>
      <c r="P66" t="inlineStr">
        <is>
          <t>nyu</t>
        </is>
      </c>
      <c r="R66" t="inlineStr">
        <is>
          <t xml:space="preserve">BV </t>
        </is>
      </c>
      <c r="S66" t="n">
        <v>3</v>
      </c>
      <c r="T66" t="n">
        <v>3</v>
      </c>
      <c r="U66" t="inlineStr">
        <is>
          <t>2008-06-24</t>
        </is>
      </c>
      <c r="V66" t="inlineStr">
        <is>
          <t>2008-06-24</t>
        </is>
      </c>
      <c r="W66" t="inlineStr">
        <is>
          <t>1990-03-27</t>
        </is>
      </c>
      <c r="X66" t="inlineStr">
        <is>
          <t>1990-03-27</t>
        </is>
      </c>
      <c r="Y66" t="n">
        <v>259</v>
      </c>
      <c r="Z66" t="n">
        <v>228</v>
      </c>
      <c r="AA66" t="n">
        <v>240</v>
      </c>
      <c r="AB66" t="n">
        <v>4</v>
      </c>
      <c r="AC66" t="n">
        <v>4</v>
      </c>
      <c r="AD66" t="n">
        <v>29</v>
      </c>
      <c r="AE66" t="n">
        <v>29</v>
      </c>
      <c r="AF66" t="n">
        <v>8</v>
      </c>
      <c r="AG66" t="n">
        <v>8</v>
      </c>
      <c r="AH66" t="n">
        <v>8</v>
      </c>
      <c r="AI66" t="n">
        <v>8</v>
      </c>
      <c r="AJ66" t="n">
        <v>23</v>
      </c>
      <c r="AK66" t="n">
        <v>23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HYPERLINK("https://creighton-primo.hosted.exlibrisgroup.com/primo-explore/search?tab=default_tab&amp;search_scope=EVERYTHING&amp;vid=01CRU&amp;lang=en_US&amp;offset=0&amp;query=any,contains,991002892989702656","Catalog Record")</f>
        <v/>
      </c>
      <c r="AT66">
        <f>HYPERLINK("http://www.worldcat.org/oclc/512536","WorldCat Record")</f>
        <v/>
      </c>
      <c r="AU66" t="inlineStr">
        <is>
          <t>2999458027:eng</t>
        </is>
      </c>
      <c r="AV66" t="inlineStr">
        <is>
          <t>512536</t>
        </is>
      </c>
      <c r="AW66" t="inlineStr">
        <is>
          <t>991002892989702656</t>
        </is>
      </c>
      <c r="AX66" t="inlineStr">
        <is>
          <t>991002892989702656</t>
        </is>
      </c>
      <c r="AY66" t="inlineStr">
        <is>
          <t>2263277940002656</t>
        </is>
      </c>
      <c r="AZ66" t="inlineStr">
        <is>
          <t>BOOK</t>
        </is>
      </c>
      <c r="BC66" t="inlineStr">
        <is>
          <t>32285000098342</t>
        </is>
      </c>
      <c r="BD66" t="inlineStr">
        <is>
          <t>893440657</t>
        </is>
      </c>
    </row>
    <row r="67">
      <c r="A67" t="inlineStr">
        <is>
          <t>No</t>
        </is>
      </c>
      <c r="B67" t="inlineStr">
        <is>
          <t>BV1475.9 .B313</t>
        </is>
      </c>
      <c r="C67" t="inlineStr">
        <is>
          <t>0                      BV 1475900B  313</t>
        </is>
      </c>
      <c r="D67" t="inlineStr">
        <is>
          <t>Crisis of faith : the religious psychology of adolescence / Pierre Babin. [Translation and adaptation by Eva Fleischner.</t>
        </is>
      </c>
      <c r="F67" t="inlineStr">
        <is>
          <t>No</t>
        </is>
      </c>
      <c r="G67" t="inlineStr">
        <is>
          <t>1</t>
        </is>
      </c>
      <c r="H67" t="inlineStr">
        <is>
          <t>No</t>
        </is>
      </c>
      <c r="I67" t="inlineStr">
        <is>
          <t>No</t>
        </is>
      </c>
      <c r="J67" t="inlineStr">
        <is>
          <t>0</t>
        </is>
      </c>
      <c r="K67" t="inlineStr">
        <is>
          <t>Babin, Pierre.</t>
        </is>
      </c>
      <c r="L67" t="inlineStr">
        <is>
          <t>New York] Herder and Herder [1963]</t>
        </is>
      </c>
      <c r="M67" t="inlineStr">
        <is>
          <t>1963</t>
        </is>
      </c>
      <c r="O67" t="inlineStr">
        <is>
          <t>eng</t>
        </is>
      </c>
      <c r="P67" t="inlineStr">
        <is>
          <t>nyu</t>
        </is>
      </c>
      <c r="R67" t="inlineStr">
        <is>
          <t xml:space="preserve">BV </t>
        </is>
      </c>
      <c r="S67" t="n">
        <v>3</v>
      </c>
      <c r="T67" t="n">
        <v>3</v>
      </c>
      <c r="U67" t="inlineStr">
        <is>
          <t>2008-06-24</t>
        </is>
      </c>
      <c r="V67" t="inlineStr">
        <is>
          <t>2008-06-24</t>
        </is>
      </c>
      <c r="W67" t="inlineStr">
        <is>
          <t>1990-03-27</t>
        </is>
      </c>
      <c r="X67" t="inlineStr">
        <is>
          <t>1990-03-27</t>
        </is>
      </c>
      <c r="Y67" t="n">
        <v>334</v>
      </c>
      <c r="Z67" t="n">
        <v>306</v>
      </c>
      <c r="AA67" t="n">
        <v>321</v>
      </c>
      <c r="AB67" t="n">
        <v>4</v>
      </c>
      <c r="AC67" t="n">
        <v>4</v>
      </c>
      <c r="AD67" t="n">
        <v>34</v>
      </c>
      <c r="AE67" t="n">
        <v>35</v>
      </c>
      <c r="AF67" t="n">
        <v>12</v>
      </c>
      <c r="AG67" t="n">
        <v>13</v>
      </c>
      <c r="AH67" t="n">
        <v>8</v>
      </c>
      <c r="AI67" t="n">
        <v>8</v>
      </c>
      <c r="AJ67" t="n">
        <v>24</v>
      </c>
      <c r="AK67" t="n">
        <v>25</v>
      </c>
      <c r="AL67" t="n">
        <v>2</v>
      </c>
      <c r="AM67" t="n">
        <v>2</v>
      </c>
      <c r="AN67" t="n">
        <v>0</v>
      </c>
      <c r="AO67" t="n">
        <v>0</v>
      </c>
      <c r="AP67" t="inlineStr">
        <is>
          <t>No</t>
        </is>
      </c>
      <c r="AQ67" t="inlineStr">
        <is>
          <t>Yes</t>
        </is>
      </c>
      <c r="AR67">
        <f>HYPERLINK("http://catalog.hathitrust.org/Record/009814465","HathiTrust Record")</f>
        <v/>
      </c>
      <c r="AS67">
        <f>HYPERLINK("https://creighton-primo.hosted.exlibrisgroup.com/primo-explore/search?tab=default_tab&amp;search_scope=EVERYTHING&amp;vid=01CRU&amp;lang=en_US&amp;offset=0&amp;query=any,contains,991003329909702656","Catalog Record")</f>
        <v/>
      </c>
      <c r="AT67">
        <f>HYPERLINK("http://www.worldcat.org/oclc/860311","WorldCat Record")</f>
        <v/>
      </c>
      <c r="AU67" t="inlineStr">
        <is>
          <t>1840255162:eng</t>
        </is>
      </c>
      <c r="AV67" t="inlineStr">
        <is>
          <t>860311</t>
        </is>
      </c>
      <c r="AW67" t="inlineStr">
        <is>
          <t>991003329909702656</t>
        </is>
      </c>
      <c r="AX67" t="inlineStr">
        <is>
          <t>991003329909702656</t>
        </is>
      </c>
      <c r="AY67" t="inlineStr">
        <is>
          <t>2263014410002656</t>
        </is>
      </c>
      <c r="AZ67" t="inlineStr">
        <is>
          <t>BOOK</t>
        </is>
      </c>
      <c r="BC67" t="inlineStr">
        <is>
          <t>32285000098359</t>
        </is>
      </c>
      <c r="BD67" t="inlineStr">
        <is>
          <t>893323989</t>
        </is>
      </c>
    </row>
    <row r="68">
      <c r="A68" t="inlineStr">
        <is>
          <t>No</t>
        </is>
      </c>
      <c r="B68" t="inlineStr">
        <is>
          <t>BV1475.9 .B32 1968</t>
        </is>
      </c>
      <c r="C68" t="inlineStr">
        <is>
          <t>0                      BV 1475900B  32          1968</t>
        </is>
      </c>
      <c r="D68" t="inlineStr">
        <is>
          <t>Teaching religion to adolescents / [by] Pierre Babin [and] J. P. Bagot [translated from the French and adapted].</t>
        </is>
      </c>
      <c r="F68" t="inlineStr">
        <is>
          <t>No</t>
        </is>
      </c>
      <c r="G68" t="inlineStr">
        <is>
          <t>1</t>
        </is>
      </c>
      <c r="H68" t="inlineStr">
        <is>
          <t>No</t>
        </is>
      </c>
      <c r="I68" t="inlineStr">
        <is>
          <t>No</t>
        </is>
      </c>
      <c r="J68" t="inlineStr">
        <is>
          <t>0</t>
        </is>
      </c>
      <c r="K68" t="inlineStr">
        <is>
          <t>Babin, Pierre.</t>
        </is>
      </c>
      <c r="L68" t="inlineStr">
        <is>
          <t>London : Burns &amp; Oates, 1968.</t>
        </is>
      </c>
      <c r="M68" t="inlineStr">
        <is>
          <t>1968</t>
        </is>
      </c>
      <c r="O68" t="inlineStr">
        <is>
          <t>eng</t>
        </is>
      </c>
      <c r="P68" t="inlineStr">
        <is>
          <t>enk</t>
        </is>
      </c>
      <c r="R68" t="inlineStr">
        <is>
          <t xml:space="preserve">BV </t>
        </is>
      </c>
      <c r="S68" t="n">
        <v>3</v>
      </c>
      <c r="T68" t="n">
        <v>3</v>
      </c>
      <c r="U68" t="inlineStr">
        <is>
          <t>1992-08-31</t>
        </is>
      </c>
      <c r="V68" t="inlineStr">
        <is>
          <t>1992-08-31</t>
        </is>
      </c>
      <c r="W68" t="inlineStr">
        <is>
          <t>1990-05-01</t>
        </is>
      </c>
      <c r="X68" t="inlineStr">
        <is>
          <t>1990-05-01</t>
        </is>
      </c>
      <c r="Y68" t="n">
        <v>45</v>
      </c>
      <c r="Z68" t="n">
        <v>24</v>
      </c>
      <c r="AA68" t="n">
        <v>99</v>
      </c>
      <c r="AB68" t="n">
        <v>1</v>
      </c>
      <c r="AC68" t="n">
        <v>2</v>
      </c>
      <c r="AD68" t="n">
        <v>4</v>
      </c>
      <c r="AE68" t="n">
        <v>13</v>
      </c>
      <c r="AF68" t="n">
        <v>0</v>
      </c>
      <c r="AG68" t="n">
        <v>1</v>
      </c>
      <c r="AH68" t="n">
        <v>2</v>
      </c>
      <c r="AI68" t="n">
        <v>3</v>
      </c>
      <c r="AJ68" t="n">
        <v>3</v>
      </c>
      <c r="AK68" t="n">
        <v>11</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HYPERLINK("https://creighton-primo.hosted.exlibrisgroup.com/primo-explore/search?tab=default_tab&amp;search_scope=EVERYTHING&amp;vid=01CRU&amp;lang=en_US&amp;offset=0&amp;query=any,contains,991000589939702656","Catalog Record")</f>
        <v/>
      </c>
      <c r="AT68">
        <f>HYPERLINK("http://www.worldcat.org/oclc/96574","WorldCat Record")</f>
        <v/>
      </c>
      <c r="AU68" t="inlineStr">
        <is>
          <t>1322081:eng</t>
        </is>
      </c>
      <c r="AV68" t="inlineStr">
        <is>
          <t>96574</t>
        </is>
      </c>
      <c r="AW68" t="inlineStr">
        <is>
          <t>991000589939702656</t>
        </is>
      </c>
      <c r="AX68" t="inlineStr">
        <is>
          <t>991000589939702656</t>
        </is>
      </c>
      <c r="AY68" t="inlineStr">
        <is>
          <t>2271320750002656</t>
        </is>
      </c>
      <c r="AZ68" t="inlineStr">
        <is>
          <t>BOOK</t>
        </is>
      </c>
      <c r="BB68" t="inlineStr">
        <is>
          <t>9780223976498</t>
        </is>
      </c>
      <c r="BC68" t="inlineStr">
        <is>
          <t>32285000145648</t>
        </is>
      </c>
      <c r="BD68" t="inlineStr">
        <is>
          <t>893432095</t>
        </is>
      </c>
    </row>
    <row r="69">
      <c r="A69" t="inlineStr">
        <is>
          <t>No</t>
        </is>
      </c>
      <c r="B69" t="inlineStr">
        <is>
          <t>BV1477 .L68</t>
        </is>
      </c>
      <c r="C69" t="inlineStr">
        <is>
          <t>0                      BV 1477000L  68</t>
        </is>
      </c>
      <c r="D69" t="inlineStr">
        <is>
          <t>Teenage religion : an enquiry into attitudes and possibilities among British boys and girsl in secondary modern schools / Harold Loukes.</t>
        </is>
      </c>
      <c r="F69" t="inlineStr">
        <is>
          <t>No</t>
        </is>
      </c>
      <c r="G69" t="inlineStr">
        <is>
          <t>1</t>
        </is>
      </c>
      <c r="H69" t="inlineStr">
        <is>
          <t>No</t>
        </is>
      </c>
      <c r="I69" t="inlineStr">
        <is>
          <t>No</t>
        </is>
      </c>
      <c r="J69" t="inlineStr">
        <is>
          <t>0</t>
        </is>
      </c>
      <c r="K69" t="inlineStr">
        <is>
          <t>Loukes, Harold.</t>
        </is>
      </c>
      <c r="L69" t="inlineStr">
        <is>
          <t>London, SCM Press [1961]</t>
        </is>
      </c>
      <c r="M69" t="inlineStr">
        <is>
          <t>1961</t>
        </is>
      </c>
      <c r="O69" t="inlineStr">
        <is>
          <t>eng</t>
        </is>
      </c>
      <c r="P69" t="inlineStr">
        <is>
          <t>___</t>
        </is>
      </c>
      <c r="R69" t="inlineStr">
        <is>
          <t xml:space="preserve">BV </t>
        </is>
      </c>
      <c r="S69" t="n">
        <v>4</v>
      </c>
      <c r="T69" t="n">
        <v>4</v>
      </c>
      <c r="U69" t="inlineStr">
        <is>
          <t>2000-12-02</t>
        </is>
      </c>
      <c r="V69" t="inlineStr">
        <is>
          <t>2000-12-02</t>
        </is>
      </c>
      <c r="W69" t="inlineStr">
        <is>
          <t>1992-01-31</t>
        </is>
      </c>
      <c r="X69" t="inlineStr">
        <is>
          <t>1992-01-31</t>
        </is>
      </c>
      <c r="Y69" t="n">
        <v>155</v>
      </c>
      <c r="Z69" t="n">
        <v>72</v>
      </c>
      <c r="AA69" t="n">
        <v>72</v>
      </c>
      <c r="AB69" t="n">
        <v>1</v>
      </c>
      <c r="AC69" t="n">
        <v>1</v>
      </c>
      <c r="AD69" t="n">
        <v>3</v>
      </c>
      <c r="AE69" t="n">
        <v>3</v>
      </c>
      <c r="AF69" t="n">
        <v>1</v>
      </c>
      <c r="AG69" t="n">
        <v>1</v>
      </c>
      <c r="AH69" t="n">
        <v>0</v>
      </c>
      <c r="AI69" t="n">
        <v>0</v>
      </c>
      <c r="AJ69" t="n">
        <v>3</v>
      </c>
      <c r="AK69" t="n">
        <v>3</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HYPERLINK("https://creighton-primo.hosted.exlibrisgroup.com/primo-explore/search?tab=default_tab&amp;search_scope=EVERYTHING&amp;vid=01CRU&amp;lang=en_US&amp;offset=0&amp;query=any,contains,991003816929702656","Catalog Record")</f>
        <v/>
      </c>
      <c r="AT69">
        <f>HYPERLINK("http://www.worldcat.org/oclc/1550680","WorldCat Record")</f>
        <v/>
      </c>
      <c r="AU69" t="inlineStr">
        <is>
          <t>2369860:eng</t>
        </is>
      </c>
      <c r="AV69" t="inlineStr">
        <is>
          <t>1550680</t>
        </is>
      </c>
      <c r="AW69" t="inlineStr">
        <is>
          <t>991003816929702656</t>
        </is>
      </c>
      <c r="AX69" t="inlineStr">
        <is>
          <t>991003816929702656</t>
        </is>
      </c>
      <c r="AY69" t="inlineStr">
        <is>
          <t>2262694020002656</t>
        </is>
      </c>
      <c r="AZ69" t="inlineStr">
        <is>
          <t>BOOK</t>
        </is>
      </c>
      <c r="BC69" t="inlineStr">
        <is>
          <t>32285000926732</t>
        </is>
      </c>
      <c r="BD69" t="inlineStr">
        <is>
          <t>893794086</t>
        </is>
      </c>
    </row>
    <row r="70">
      <c r="A70" t="inlineStr">
        <is>
          <t>No</t>
        </is>
      </c>
      <c r="B70" t="inlineStr">
        <is>
          <t>BV1478 .R36 1993</t>
        </is>
      </c>
      <c r="C70" t="inlineStr">
        <is>
          <t>0                      BV 1478000R  36          1993</t>
        </is>
      </c>
      <c r="D70" t="inlineStr">
        <is>
          <t>The godparent book / Elaine Ramshaw.</t>
        </is>
      </c>
      <c r="F70" t="inlineStr">
        <is>
          <t>No</t>
        </is>
      </c>
      <c r="G70" t="inlineStr">
        <is>
          <t>1</t>
        </is>
      </c>
      <c r="H70" t="inlineStr">
        <is>
          <t>No</t>
        </is>
      </c>
      <c r="I70" t="inlineStr">
        <is>
          <t>No</t>
        </is>
      </c>
      <c r="J70" t="inlineStr">
        <is>
          <t>0</t>
        </is>
      </c>
      <c r="K70" t="inlineStr">
        <is>
          <t>Ramshaw, Elaine, 1956-</t>
        </is>
      </c>
      <c r="L70" t="inlineStr">
        <is>
          <t>Chicago, IL : Liturgy Training Publications, c1993.</t>
        </is>
      </c>
      <c r="M70" t="inlineStr">
        <is>
          <t>1993</t>
        </is>
      </c>
      <c r="O70" t="inlineStr">
        <is>
          <t>eng</t>
        </is>
      </c>
      <c r="P70" t="inlineStr">
        <is>
          <t>ilu</t>
        </is>
      </c>
      <c r="R70" t="inlineStr">
        <is>
          <t xml:space="preserve">BV </t>
        </is>
      </c>
      <c r="S70" t="n">
        <v>1</v>
      </c>
      <c r="T70" t="n">
        <v>1</v>
      </c>
      <c r="U70" t="inlineStr">
        <is>
          <t>2008-02-04</t>
        </is>
      </c>
      <c r="V70" t="inlineStr">
        <is>
          <t>2008-02-04</t>
        </is>
      </c>
      <c r="W70" t="inlineStr">
        <is>
          <t>2008-02-04</t>
        </is>
      </c>
      <c r="X70" t="inlineStr">
        <is>
          <t>2008-02-04</t>
        </is>
      </c>
      <c r="Y70" t="n">
        <v>62</v>
      </c>
      <c r="Z70" t="n">
        <v>54</v>
      </c>
      <c r="AA70" t="n">
        <v>59</v>
      </c>
      <c r="AB70" t="n">
        <v>2</v>
      </c>
      <c r="AC70" t="n">
        <v>2</v>
      </c>
      <c r="AD70" t="n">
        <v>4</v>
      </c>
      <c r="AE70" t="n">
        <v>4</v>
      </c>
      <c r="AF70" t="n">
        <v>1</v>
      </c>
      <c r="AG70" t="n">
        <v>1</v>
      </c>
      <c r="AH70" t="n">
        <v>1</v>
      </c>
      <c r="AI70" t="n">
        <v>1</v>
      </c>
      <c r="AJ70" t="n">
        <v>1</v>
      </c>
      <c r="AK70" t="n">
        <v>1</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HYPERLINK("https://creighton-primo.hosted.exlibrisgroup.com/primo-explore/search?tab=default_tab&amp;search_scope=EVERYTHING&amp;vid=01CRU&amp;lang=en_US&amp;offset=0&amp;query=any,contains,991005179789702656","Catalog Record")</f>
        <v/>
      </c>
      <c r="AT70">
        <f>HYPERLINK("http://www.worldcat.org/oclc/28709891","WorldCat Record")</f>
        <v/>
      </c>
      <c r="AU70" t="inlineStr">
        <is>
          <t>30961754:eng</t>
        </is>
      </c>
      <c r="AV70" t="inlineStr">
        <is>
          <t>28709891</t>
        </is>
      </c>
      <c r="AW70" t="inlineStr">
        <is>
          <t>991005179789702656</t>
        </is>
      </c>
      <c r="AX70" t="inlineStr">
        <is>
          <t>991005179789702656</t>
        </is>
      </c>
      <c r="AY70" t="inlineStr">
        <is>
          <t>2255622690002656</t>
        </is>
      </c>
      <c r="AZ70" t="inlineStr">
        <is>
          <t>BOOK</t>
        </is>
      </c>
      <c r="BB70" t="inlineStr">
        <is>
          <t>9781568540153</t>
        </is>
      </c>
      <c r="BC70" t="inlineStr">
        <is>
          <t>32285005391783</t>
        </is>
      </c>
      <c r="BD70" t="inlineStr">
        <is>
          <t>893520583</t>
        </is>
      </c>
    </row>
    <row r="71">
      <c r="A71" t="inlineStr">
        <is>
          <t>No</t>
        </is>
      </c>
      <c r="B71" t="inlineStr">
        <is>
          <t>BV1485 .R43</t>
        </is>
      </c>
      <c r="C71" t="inlineStr">
        <is>
          <t>0                      BV 1485000R  43</t>
        </is>
      </c>
      <c r="D71" t="inlineStr">
        <is>
          <t>Religious education ministry with youth / edited by D. Campbell Wyckoff and Don Richter.</t>
        </is>
      </c>
      <c r="F71" t="inlineStr">
        <is>
          <t>No</t>
        </is>
      </c>
      <c r="G71" t="inlineStr">
        <is>
          <t>1</t>
        </is>
      </c>
      <c r="H71" t="inlineStr">
        <is>
          <t>No</t>
        </is>
      </c>
      <c r="I71" t="inlineStr">
        <is>
          <t>No</t>
        </is>
      </c>
      <c r="J71" t="inlineStr">
        <is>
          <t>0</t>
        </is>
      </c>
      <c r="L71" t="inlineStr">
        <is>
          <t>Birmingham, Ala. : Religious Education Press, 1982.</t>
        </is>
      </c>
      <c r="M71" t="inlineStr">
        <is>
          <t>1982</t>
        </is>
      </c>
      <c r="O71" t="inlineStr">
        <is>
          <t>eng</t>
        </is>
      </c>
      <c r="P71" t="inlineStr">
        <is>
          <t>alu</t>
        </is>
      </c>
      <c r="R71" t="inlineStr">
        <is>
          <t xml:space="preserve">BV </t>
        </is>
      </c>
      <c r="S71" t="n">
        <v>3</v>
      </c>
      <c r="T71" t="n">
        <v>3</v>
      </c>
      <c r="U71" t="inlineStr">
        <is>
          <t>1993-06-25</t>
        </is>
      </c>
      <c r="V71" t="inlineStr">
        <is>
          <t>1993-06-25</t>
        </is>
      </c>
      <c r="W71" t="inlineStr">
        <is>
          <t>1992-01-31</t>
        </is>
      </c>
      <c r="X71" t="inlineStr">
        <is>
          <t>1992-01-31</t>
        </is>
      </c>
      <c r="Y71" t="n">
        <v>356</v>
      </c>
      <c r="Z71" t="n">
        <v>306</v>
      </c>
      <c r="AA71" t="n">
        <v>311</v>
      </c>
      <c r="AB71" t="n">
        <v>3</v>
      </c>
      <c r="AC71" t="n">
        <v>3</v>
      </c>
      <c r="AD71" t="n">
        <v>22</v>
      </c>
      <c r="AE71" t="n">
        <v>22</v>
      </c>
      <c r="AF71" t="n">
        <v>9</v>
      </c>
      <c r="AG71" t="n">
        <v>9</v>
      </c>
      <c r="AH71" t="n">
        <v>4</v>
      </c>
      <c r="AI71" t="n">
        <v>4</v>
      </c>
      <c r="AJ71" t="n">
        <v>11</v>
      </c>
      <c r="AK71" t="n">
        <v>11</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HYPERLINK("https://creighton-primo.hosted.exlibrisgroup.com/primo-explore/search?tab=default_tab&amp;search_scope=EVERYTHING&amp;vid=01CRU&amp;lang=en_US&amp;offset=0&amp;query=any,contains,991005182779702656","Catalog Record")</f>
        <v/>
      </c>
      <c r="AT71">
        <f>HYPERLINK("http://www.worldcat.org/oclc/7947412","WorldCat Record")</f>
        <v/>
      </c>
      <c r="AU71" t="inlineStr">
        <is>
          <t>349924247:eng</t>
        </is>
      </c>
      <c r="AV71" t="inlineStr">
        <is>
          <t>7947412</t>
        </is>
      </c>
      <c r="AW71" t="inlineStr">
        <is>
          <t>991005182779702656</t>
        </is>
      </c>
      <c r="AX71" t="inlineStr">
        <is>
          <t>991005182779702656</t>
        </is>
      </c>
      <c r="AY71" t="inlineStr">
        <is>
          <t>2270081200002656</t>
        </is>
      </c>
      <c r="AZ71" t="inlineStr">
        <is>
          <t>BOOK</t>
        </is>
      </c>
      <c r="BB71" t="inlineStr">
        <is>
          <t>9780891350309</t>
        </is>
      </c>
      <c r="BC71" t="inlineStr">
        <is>
          <t>32285000926765</t>
        </is>
      </c>
      <c r="BD71" t="inlineStr">
        <is>
          <t>893418512</t>
        </is>
      </c>
    </row>
    <row r="72">
      <c r="A72" t="inlineStr">
        <is>
          <t>No</t>
        </is>
      </c>
      <c r="B72" t="inlineStr">
        <is>
          <t>BV1485 .W37 1975</t>
        </is>
      </c>
      <c r="C72" t="inlineStr">
        <is>
          <t>0                      BV 1485000W  37          1975</t>
        </is>
      </c>
      <c r="D72" t="inlineStr">
        <is>
          <t>A future for youth catechesis / by Michael Warren.</t>
        </is>
      </c>
      <c r="F72" t="inlineStr">
        <is>
          <t>No</t>
        </is>
      </c>
      <c r="G72" t="inlineStr">
        <is>
          <t>1</t>
        </is>
      </c>
      <c r="H72" t="inlineStr">
        <is>
          <t>No</t>
        </is>
      </c>
      <c r="I72" t="inlineStr">
        <is>
          <t>No</t>
        </is>
      </c>
      <c r="J72" t="inlineStr">
        <is>
          <t>0</t>
        </is>
      </c>
      <c r="K72" t="inlineStr">
        <is>
          <t>Warren, Michael, 1935-</t>
        </is>
      </c>
      <c r="L72" t="inlineStr">
        <is>
          <t>New York : Paulist Press, [1975]</t>
        </is>
      </c>
      <c r="M72" t="inlineStr">
        <is>
          <t>1975</t>
        </is>
      </c>
      <c r="O72" t="inlineStr">
        <is>
          <t>eng</t>
        </is>
      </c>
      <c r="P72" t="inlineStr">
        <is>
          <t>nyu</t>
        </is>
      </c>
      <c r="Q72" t="inlineStr">
        <is>
          <t>Deus book</t>
        </is>
      </c>
      <c r="R72" t="inlineStr">
        <is>
          <t xml:space="preserve">BV </t>
        </is>
      </c>
      <c r="S72" t="n">
        <v>4</v>
      </c>
      <c r="T72" t="n">
        <v>4</v>
      </c>
      <c r="U72" t="inlineStr">
        <is>
          <t>2000-12-02</t>
        </is>
      </c>
      <c r="V72" t="inlineStr">
        <is>
          <t>2000-12-02</t>
        </is>
      </c>
      <c r="W72" t="inlineStr">
        <is>
          <t>1992-01-31</t>
        </is>
      </c>
      <c r="X72" t="inlineStr">
        <is>
          <t>1992-01-31</t>
        </is>
      </c>
      <c r="Y72" t="n">
        <v>97</v>
      </c>
      <c r="Z72" t="n">
        <v>81</v>
      </c>
      <c r="AA72" t="n">
        <v>82</v>
      </c>
      <c r="AB72" t="n">
        <v>2</v>
      </c>
      <c r="AC72" t="n">
        <v>2</v>
      </c>
      <c r="AD72" t="n">
        <v>12</v>
      </c>
      <c r="AE72" t="n">
        <v>12</v>
      </c>
      <c r="AF72" t="n">
        <v>3</v>
      </c>
      <c r="AG72" t="n">
        <v>3</v>
      </c>
      <c r="AH72" t="n">
        <v>3</v>
      </c>
      <c r="AI72" t="n">
        <v>3</v>
      </c>
      <c r="AJ72" t="n">
        <v>8</v>
      </c>
      <c r="AK72" t="n">
        <v>8</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HYPERLINK("https://creighton-primo.hosted.exlibrisgroup.com/primo-explore/search?tab=default_tab&amp;search_scope=EVERYTHING&amp;vid=01CRU&amp;lang=en_US&amp;offset=0&amp;query=any,contains,991003805609702656","Catalog Record")</f>
        <v/>
      </c>
      <c r="AT72">
        <f>HYPERLINK("http://www.worldcat.org/oclc/1530617","WorldCat Record")</f>
        <v/>
      </c>
      <c r="AU72" t="inlineStr">
        <is>
          <t>2399821:eng</t>
        </is>
      </c>
      <c r="AV72" t="inlineStr">
        <is>
          <t>1530617</t>
        </is>
      </c>
      <c r="AW72" t="inlineStr">
        <is>
          <t>991003805609702656</t>
        </is>
      </c>
      <c r="AX72" t="inlineStr">
        <is>
          <t>991003805609702656</t>
        </is>
      </c>
      <c r="AY72" t="inlineStr">
        <is>
          <t>2269725350002656</t>
        </is>
      </c>
      <c r="AZ72" t="inlineStr">
        <is>
          <t>BOOK</t>
        </is>
      </c>
      <c r="BB72" t="inlineStr">
        <is>
          <t>9780809118830</t>
        </is>
      </c>
      <c r="BC72" t="inlineStr">
        <is>
          <t>32285000926773</t>
        </is>
      </c>
      <c r="BD72" t="inlineStr">
        <is>
          <t>893900399</t>
        </is>
      </c>
    </row>
    <row r="73">
      <c r="A73" t="inlineStr">
        <is>
          <t>No</t>
        </is>
      </c>
      <c r="B73" t="inlineStr">
        <is>
          <t>BV1488 .A33</t>
        </is>
      </c>
      <c r="C73" t="inlineStr">
        <is>
          <t>0                      BV 1488000A  33</t>
        </is>
      </c>
      <c r="D73" t="inlineStr">
        <is>
          <t>Adult education in the church / edited by Roy B. Zuck and Gene A. Getz.</t>
        </is>
      </c>
      <c r="F73" t="inlineStr">
        <is>
          <t>No</t>
        </is>
      </c>
      <c r="G73" t="inlineStr">
        <is>
          <t>1</t>
        </is>
      </c>
      <c r="H73" t="inlineStr">
        <is>
          <t>No</t>
        </is>
      </c>
      <c r="I73" t="inlineStr">
        <is>
          <t>No</t>
        </is>
      </c>
      <c r="J73" t="inlineStr">
        <is>
          <t>0</t>
        </is>
      </c>
      <c r="L73" t="inlineStr">
        <is>
          <t>Chicago, Moody Press [1970]</t>
        </is>
      </c>
      <c r="M73" t="inlineStr">
        <is>
          <t>1970</t>
        </is>
      </c>
      <c r="O73" t="inlineStr">
        <is>
          <t>eng</t>
        </is>
      </c>
      <c r="P73" t="inlineStr">
        <is>
          <t>ilu</t>
        </is>
      </c>
      <c r="R73" t="inlineStr">
        <is>
          <t xml:space="preserve">BV </t>
        </is>
      </c>
      <c r="S73" t="n">
        <v>2</v>
      </c>
      <c r="T73" t="n">
        <v>2</v>
      </c>
      <c r="U73" t="inlineStr">
        <is>
          <t>1997-06-26</t>
        </is>
      </c>
      <c r="V73" t="inlineStr">
        <is>
          <t>1997-06-26</t>
        </is>
      </c>
      <c r="W73" t="inlineStr">
        <is>
          <t>1992-01-31</t>
        </is>
      </c>
      <c r="X73" t="inlineStr">
        <is>
          <t>1992-01-31</t>
        </is>
      </c>
      <c r="Y73" t="n">
        <v>267</v>
      </c>
      <c r="Z73" t="n">
        <v>237</v>
      </c>
      <c r="AA73" t="n">
        <v>239</v>
      </c>
      <c r="AB73" t="n">
        <v>4</v>
      </c>
      <c r="AC73" t="n">
        <v>4</v>
      </c>
      <c r="AD73" t="n">
        <v>12</v>
      </c>
      <c r="AE73" t="n">
        <v>12</v>
      </c>
      <c r="AF73" t="n">
        <v>4</v>
      </c>
      <c r="AG73" t="n">
        <v>4</v>
      </c>
      <c r="AH73" t="n">
        <v>4</v>
      </c>
      <c r="AI73" t="n">
        <v>4</v>
      </c>
      <c r="AJ73" t="n">
        <v>4</v>
      </c>
      <c r="AK73" t="n">
        <v>4</v>
      </c>
      <c r="AL73" t="n">
        <v>3</v>
      </c>
      <c r="AM73" t="n">
        <v>3</v>
      </c>
      <c r="AN73" t="n">
        <v>0</v>
      </c>
      <c r="AO73" t="n">
        <v>0</v>
      </c>
      <c r="AP73" t="inlineStr">
        <is>
          <t>No</t>
        </is>
      </c>
      <c r="AQ73" t="inlineStr">
        <is>
          <t>No</t>
        </is>
      </c>
      <c r="AS73">
        <f>HYPERLINK("https://creighton-primo.hosted.exlibrisgroup.com/primo-explore/search?tab=default_tab&amp;search_scope=EVERYTHING&amp;vid=01CRU&amp;lang=en_US&amp;offset=0&amp;query=any,contains,991000652179702656","Catalog Record")</f>
        <v/>
      </c>
      <c r="AT73">
        <f>HYPERLINK("http://www.worldcat.org/oclc/114077","WorldCat Record")</f>
        <v/>
      </c>
      <c r="AU73" t="inlineStr">
        <is>
          <t>350394108:eng</t>
        </is>
      </c>
      <c r="AV73" t="inlineStr">
        <is>
          <t>114077</t>
        </is>
      </c>
      <c r="AW73" t="inlineStr">
        <is>
          <t>991000652179702656</t>
        </is>
      </c>
      <c r="AX73" t="inlineStr">
        <is>
          <t>991000652179702656</t>
        </is>
      </c>
      <c r="AY73" t="inlineStr">
        <is>
          <t>2265394430002656</t>
        </is>
      </c>
      <c r="AZ73" t="inlineStr">
        <is>
          <t>BOOK</t>
        </is>
      </c>
      <c r="BC73" t="inlineStr">
        <is>
          <t>32285000926781</t>
        </is>
      </c>
      <c r="BD73" t="inlineStr">
        <is>
          <t>893796870</t>
        </is>
      </c>
    </row>
    <row r="74">
      <c r="A74" t="inlineStr">
        <is>
          <t>No</t>
        </is>
      </c>
      <c r="B74" t="inlineStr">
        <is>
          <t>BV1488 .B57 1990</t>
        </is>
      </c>
      <c r="C74" t="inlineStr">
        <is>
          <t>0                      BV 1488000B  57          1990</t>
        </is>
      </c>
      <c r="D74" t="inlineStr">
        <is>
          <t>Adult catechesis in the Christian community : some principles and guidelines / [Cesare Bissoli].</t>
        </is>
      </c>
      <c r="F74" t="inlineStr">
        <is>
          <t>No</t>
        </is>
      </c>
      <c r="G74" t="inlineStr">
        <is>
          <t>1</t>
        </is>
      </c>
      <c r="H74" t="inlineStr">
        <is>
          <t>No</t>
        </is>
      </c>
      <c r="I74" t="inlineStr">
        <is>
          <t>No</t>
        </is>
      </c>
      <c r="J74" t="inlineStr">
        <is>
          <t>0</t>
        </is>
      </c>
      <c r="K74" t="inlineStr">
        <is>
          <t>Bissoli, Cesare.</t>
        </is>
      </c>
      <c r="L74" t="inlineStr">
        <is>
          <t>Vatican City : Libreria Editrice Vaticana ; [Washington, D.C. : United States Catholic Conference], c1990.</t>
        </is>
      </c>
      <c r="M74" t="inlineStr">
        <is>
          <t>1990</t>
        </is>
      </c>
      <c r="O74" t="inlineStr">
        <is>
          <t>eng</t>
        </is>
      </c>
      <c r="P74" t="inlineStr">
        <is>
          <t xml:space="preserve">vc </t>
        </is>
      </c>
      <c r="Q74" t="inlineStr">
        <is>
          <t>Publication / Office for Publishing and Promotion Services, United States Catholic Conference ; no. 402-3</t>
        </is>
      </c>
      <c r="R74" t="inlineStr">
        <is>
          <t xml:space="preserve">BV </t>
        </is>
      </c>
      <c r="S74" t="n">
        <v>2</v>
      </c>
      <c r="T74" t="n">
        <v>2</v>
      </c>
      <c r="U74" t="inlineStr">
        <is>
          <t>1996-06-29</t>
        </is>
      </c>
      <c r="V74" t="inlineStr">
        <is>
          <t>1996-06-29</t>
        </is>
      </c>
      <c r="W74" t="inlineStr">
        <is>
          <t>1991-02-25</t>
        </is>
      </c>
      <c r="X74" t="inlineStr">
        <is>
          <t>1991-02-25</t>
        </is>
      </c>
      <c r="Y74" t="n">
        <v>79</v>
      </c>
      <c r="Z74" t="n">
        <v>72</v>
      </c>
      <c r="AA74" t="n">
        <v>81</v>
      </c>
      <c r="AB74" t="n">
        <v>1</v>
      </c>
      <c r="AC74" t="n">
        <v>1</v>
      </c>
      <c r="AD74" t="n">
        <v>16</v>
      </c>
      <c r="AE74" t="n">
        <v>17</v>
      </c>
      <c r="AF74" t="n">
        <v>4</v>
      </c>
      <c r="AG74" t="n">
        <v>4</v>
      </c>
      <c r="AH74" t="n">
        <v>6</v>
      </c>
      <c r="AI74" t="n">
        <v>6</v>
      </c>
      <c r="AJ74" t="n">
        <v>10</v>
      </c>
      <c r="AK74" t="n">
        <v>11</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HYPERLINK("https://creighton-primo.hosted.exlibrisgroup.com/primo-explore/search?tab=default_tab&amp;search_scope=EVERYTHING&amp;vid=01CRU&amp;lang=en_US&amp;offset=0&amp;query=any,contains,991001836209702656","Catalog Record")</f>
        <v/>
      </c>
      <c r="AT74">
        <f>HYPERLINK("http://www.worldcat.org/oclc/23064003","WorldCat Record")</f>
        <v/>
      </c>
      <c r="AU74" t="inlineStr">
        <is>
          <t>3944037263:eng</t>
        </is>
      </c>
      <c r="AV74" t="inlineStr">
        <is>
          <t>23064003</t>
        </is>
      </c>
      <c r="AW74" t="inlineStr">
        <is>
          <t>991001836209702656</t>
        </is>
      </c>
      <c r="AX74" t="inlineStr">
        <is>
          <t>991001836209702656</t>
        </is>
      </c>
      <c r="AY74" t="inlineStr">
        <is>
          <t>2268187940002656</t>
        </is>
      </c>
      <c r="AZ74" t="inlineStr">
        <is>
          <t>BOOK</t>
        </is>
      </c>
      <c r="BB74" t="inlineStr">
        <is>
          <t>9781555864026</t>
        </is>
      </c>
      <c r="BC74" t="inlineStr">
        <is>
          <t>32285000299866</t>
        </is>
      </c>
      <c r="BD74" t="inlineStr">
        <is>
          <t>893503740</t>
        </is>
      </c>
    </row>
    <row r="75">
      <c r="A75" t="inlineStr">
        <is>
          <t>No</t>
        </is>
      </c>
      <c r="B75" t="inlineStr">
        <is>
          <t>BV1488 .D68 1979</t>
        </is>
      </c>
      <c r="C75" t="inlineStr">
        <is>
          <t>0                      BV 1488000D  68          1979</t>
        </is>
      </c>
      <c r="D75" t="inlineStr">
        <is>
          <t>Parish as learning community : modeling for parish and adult growth / by Tom Downs.</t>
        </is>
      </c>
      <c r="F75" t="inlineStr">
        <is>
          <t>No</t>
        </is>
      </c>
      <c r="G75" t="inlineStr">
        <is>
          <t>1</t>
        </is>
      </c>
      <c r="H75" t="inlineStr">
        <is>
          <t>No</t>
        </is>
      </c>
      <c r="I75" t="inlineStr">
        <is>
          <t>No</t>
        </is>
      </c>
      <c r="J75" t="inlineStr">
        <is>
          <t>0</t>
        </is>
      </c>
      <c r="K75" t="inlineStr">
        <is>
          <t>Downs, Tom, 1938-</t>
        </is>
      </c>
      <c r="L75" t="inlineStr">
        <is>
          <t>New York : Paulist Press, c1979.</t>
        </is>
      </c>
      <c r="M75" t="inlineStr">
        <is>
          <t>1979</t>
        </is>
      </c>
      <c r="O75" t="inlineStr">
        <is>
          <t>eng</t>
        </is>
      </c>
      <c r="P75" t="inlineStr">
        <is>
          <t>nyu</t>
        </is>
      </c>
      <c r="Q75" t="inlineStr">
        <is>
          <t>A Deus book</t>
        </is>
      </c>
      <c r="R75" t="inlineStr">
        <is>
          <t xml:space="preserve">BV </t>
        </is>
      </c>
      <c r="S75" t="n">
        <v>2</v>
      </c>
      <c r="T75" t="n">
        <v>2</v>
      </c>
      <c r="U75" t="inlineStr">
        <is>
          <t>2007-06-11</t>
        </is>
      </c>
      <c r="V75" t="inlineStr">
        <is>
          <t>2007-06-11</t>
        </is>
      </c>
      <c r="W75" t="inlineStr">
        <is>
          <t>2007-06-11</t>
        </is>
      </c>
      <c r="X75" t="inlineStr">
        <is>
          <t>2007-06-11</t>
        </is>
      </c>
      <c r="Y75" t="n">
        <v>157</v>
      </c>
      <c r="Z75" t="n">
        <v>135</v>
      </c>
      <c r="AA75" t="n">
        <v>141</v>
      </c>
      <c r="AB75" t="n">
        <v>2</v>
      </c>
      <c r="AC75" t="n">
        <v>2</v>
      </c>
      <c r="AD75" t="n">
        <v>17</v>
      </c>
      <c r="AE75" t="n">
        <v>17</v>
      </c>
      <c r="AF75" t="n">
        <v>6</v>
      </c>
      <c r="AG75" t="n">
        <v>6</v>
      </c>
      <c r="AH75" t="n">
        <v>4</v>
      </c>
      <c r="AI75" t="n">
        <v>4</v>
      </c>
      <c r="AJ75" t="n">
        <v>12</v>
      </c>
      <c r="AK75" t="n">
        <v>12</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HYPERLINK("https://creighton-primo.hosted.exlibrisgroup.com/primo-explore/search?tab=default_tab&amp;search_scope=EVERYTHING&amp;vid=01CRU&amp;lang=en_US&amp;offset=0&amp;query=any,contains,991005090689702656","Catalog Record")</f>
        <v/>
      </c>
      <c r="AT75">
        <f>HYPERLINK("http://www.worldcat.org/oclc/4867107","WorldCat Record")</f>
        <v/>
      </c>
      <c r="AU75" t="inlineStr">
        <is>
          <t>1149396518:eng</t>
        </is>
      </c>
      <c r="AV75" t="inlineStr">
        <is>
          <t>4867107</t>
        </is>
      </c>
      <c r="AW75" t="inlineStr">
        <is>
          <t>991005090689702656</t>
        </is>
      </c>
      <c r="AX75" t="inlineStr">
        <is>
          <t>991005090689702656</t>
        </is>
      </c>
      <c r="AY75" t="inlineStr">
        <is>
          <t>2265433740002656</t>
        </is>
      </c>
      <c r="AZ75" t="inlineStr">
        <is>
          <t>BOOK</t>
        </is>
      </c>
      <c r="BB75" t="inlineStr">
        <is>
          <t>9780809121724</t>
        </is>
      </c>
      <c r="BC75" t="inlineStr">
        <is>
          <t>32285005316442</t>
        </is>
      </c>
      <c r="BD75" t="inlineStr">
        <is>
          <t>893783002</t>
        </is>
      </c>
    </row>
    <row r="76">
      <c r="A76" t="inlineStr">
        <is>
          <t>No</t>
        </is>
      </c>
      <c r="B76" t="inlineStr">
        <is>
          <t>BV1488 .H36 1986</t>
        </is>
      </c>
      <c r="C76" t="inlineStr">
        <is>
          <t>0                      BV 1488000H  36          1986</t>
        </is>
      </c>
      <c r="D76" t="inlineStr">
        <is>
          <t>Handbook of adult religious education / edited by Nancy T. Foltz.</t>
        </is>
      </c>
      <c r="F76" t="inlineStr">
        <is>
          <t>No</t>
        </is>
      </c>
      <c r="G76" t="inlineStr">
        <is>
          <t>1</t>
        </is>
      </c>
      <c r="H76" t="inlineStr">
        <is>
          <t>No</t>
        </is>
      </c>
      <c r="I76" t="inlineStr">
        <is>
          <t>No</t>
        </is>
      </c>
      <c r="J76" t="inlineStr">
        <is>
          <t>0</t>
        </is>
      </c>
      <c r="L76" t="inlineStr">
        <is>
          <t>Birmingham, Ala. : Religious Education Press, c1986.</t>
        </is>
      </c>
      <c r="M76" t="inlineStr">
        <is>
          <t>1986</t>
        </is>
      </c>
      <c r="O76" t="inlineStr">
        <is>
          <t>eng</t>
        </is>
      </c>
      <c r="P76" t="inlineStr">
        <is>
          <t>alu</t>
        </is>
      </c>
      <c r="R76" t="inlineStr">
        <is>
          <t xml:space="preserve">BV </t>
        </is>
      </c>
      <c r="S76" t="n">
        <v>5</v>
      </c>
      <c r="T76" t="n">
        <v>5</v>
      </c>
      <c r="U76" t="inlineStr">
        <is>
          <t>1995-11-19</t>
        </is>
      </c>
      <c r="V76" t="inlineStr">
        <is>
          <t>1995-11-19</t>
        </is>
      </c>
      <c r="W76" t="inlineStr">
        <is>
          <t>1992-02-03</t>
        </is>
      </c>
      <c r="X76" t="inlineStr">
        <is>
          <t>1992-02-03</t>
        </is>
      </c>
      <c r="Y76" t="n">
        <v>377</v>
      </c>
      <c r="Z76" t="n">
        <v>309</v>
      </c>
      <c r="AA76" t="n">
        <v>315</v>
      </c>
      <c r="AB76" t="n">
        <v>4</v>
      </c>
      <c r="AC76" t="n">
        <v>4</v>
      </c>
      <c r="AD76" t="n">
        <v>23</v>
      </c>
      <c r="AE76" t="n">
        <v>23</v>
      </c>
      <c r="AF76" t="n">
        <v>8</v>
      </c>
      <c r="AG76" t="n">
        <v>8</v>
      </c>
      <c r="AH76" t="n">
        <v>4</v>
      </c>
      <c r="AI76" t="n">
        <v>4</v>
      </c>
      <c r="AJ76" t="n">
        <v>12</v>
      </c>
      <c r="AK76" t="n">
        <v>12</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HYPERLINK("https://creighton-primo.hosted.exlibrisgroup.com/primo-explore/search?tab=default_tab&amp;search_scope=EVERYTHING&amp;vid=01CRU&amp;lang=en_US&amp;offset=0&amp;query=any,contains,991000742969702656","Catalog Record")</f>
        <v/>
      </c>
      <c r="AT76">
        <f>HYPERLINK("http://www.worldcat.org/oclc/12810634","WorldCat Record")</f>
        <v/>
      </c>
      <c r="AU76" t="inlineStr">
        <is>
          <t>5457223:eng</t>
        </is>
      </c>
      <c r="AV76" t="inlineStr">
        <is>
          <t>12810634</t>
        </is>
      </c>
      <c r="AW76" t="inlineStr">
        <is>
          <t>991000742969702656</t>
        </is>
      </c>
      <c r="AX76" t="inlineStr">
        <is>
          <t>991000742969702656</t>
        </is>
      </c>
      <c r="AY76" t="inlineStr">
        <is>
          <t>2267520650002656</t>
        </is>
      </c>
      <c r="AZ76" t="inlineStr">
        <is>
          <t>BOOK</t>
        </is>
      </c>
      <c r="BB76" t="inlineStr">
        <is>
          <t>9780891350521</t>
        </is>
      </c>
      <c r="BC76" t="inlineStr">
        <is>
          <t>32285000926906</t>
        </is>
      </c>
      <c r="BD76" t="inlineStr">
        <is>
          <t>893521967</t>
        </is>
      </c>
    </row>
    <row r="77">
      <c r="A77" t="inlineStr">
        <is>
          <t>No</t>
        </is>
      </c>
      <c r="B77" t="inlineStr">
        <is>
          <t>BV1488 .H363 1995</t>
        </is>
      </c>
      <c r="C77" t="inlineStr">
        <is>
          <t>0                      BV 1488000H  363         1995</t>
        </is>
      </c>
      <c r="D77" t="inlineStr">
        <is>
          <t>Handbook of young adult religious education / edited by Harley Atkinson.</t>
        </is>
      </c>
      <c r="F77" t="inlineStr">
        <is>
          <t>No</t>
        </is>
      </c>
      <c r="G77" t="inlineStr">
        <is>
          <t>1</t>
        </is>
      </c>
      <c r="H77" t="inlineStr">
        <is>
          <t>No</t>
        </is>
      </c>
      <c r="I77" t="inlineStr">
        <is>
          <t>No</t>
        </is>
      </c>
      <c r="J77" t="inlineStr">
        <is>
          <t>0</t>
        </is>
      </c>
      <c r="L77" t="inlineStr">
        <is>
          <t>Birmingham, Ala. : Religious Education Press, 1995.</t>
        </is>
      </c>
      <c r="M77" t="inlineStr">
        <is>
          <t>1995</t>
        </is>
      </c>
      <c r="O77" t="inlineStr">
        <is>
          <t>eng</t>
        </is>
      </c>
      <c r="P77" t="inlineStr">
        <is>
          <t>alu</t>
        </is>
      </c>
      <c r="R77" t="inlineStr">
        <is>
          <t xml:space="preserve">BV </t>
        </is>
      </c>
      <c r="S77" t="n">
        <v>4</v>
      </c>
      <c r="T77" t="n">
        <v>4</v>
      </c>
      <c r="U77" t="inlineStr">
        <is>
          <t>2008-06-24</t>
        </is>
      </c>
      <c r="V77" t="inlineStr">
        <is>
          <t>2008-06-24</t>
        </is>
      </c>
      <c r="W77" t="inlineStr">
        <is>
          <t>1995-03-28</t>
        </is>
      </c>
      <c r="X77" t="inlineStr">
        <is>
          <t>1995-03-28</t>
        </is>
      </c>
      <c r="Y77" t="n">
        <v>283</v>
      </c>
      <c r="Z77" t="n">
        <v>237</v>
      </c>
      <c r="AA77" t="n">
        <v>242</v>
      </c>
      <c r="AB77" t="n">
        <v>4</v>
      </c>
      <c r="AC77" t="n">
        <v>4</v>
      </c>
      <c r="AD77" t="n">
        <v>21</v>
      </c>
      <c r="AE77" t="n">
        <v>21</v>
      </c>
      <c r="AF77" t="n">
        <v>8</v>
      </c>
      <c r="AG77" t="n">
        <v>8</v>
      </c>
      <c r="AH77" t="n">
        <v>3</v>
      </c>
      <c r="AI77" t="n">
        <v>3</v>
      </c>
      <c r="AJ77" t="n">
        <v>12</v>
      </c>
      <c r="AK77" t="n">
        <v>12</v>
      </c>
      <c r="AL77" t="n">
        <v>3</v>
      </c>
      <c r="AM77" t="n">
        <v>3</v>
      </c>
      <c r="AN77" t="n">
        <v>0</v>
      </c>
      <c r="AO77" t="n">
        <v>0</v>
      </c>
      <c r="AP77" t="inlineStr">
        <is>
          <t>No</t>
        </is>
      </c>
      <c r="AQ77" t="inlineStr">
        <is>
          <t>No</t>
        </is>
      </c>
      <c r="AS77">
        <f>HYPERLINK("https://creighton-primo.hosted.exlibrisgroup.com/primo-explore/search?tab=default_tab&amp;search_scope=EVERYTHING&amp;vid=01CRU&amp;lang=en_US&amp;offset=0&amp;query=any,contains,991002411029702656","Catalog Record")</f>
        <v/>
      </c>
      <c r="AT77">
        <f>HYPERLINK("http://www.worldcat.org/oclc/31376512","WorldCat Record")</f>
        <v/>
      </c>
      <c r="AU77" t="inlineStr">
        <is>
          <t>33409073:eng</t>
        </is>
      </c>
      <c r="AV77" t="inlineStr">
        <is>
          <t>31376512</t>
        </is>
      </c>
      <c r="AW77" t="inlineStr">
        <is>
          <t>991002411029702656</t>
        </is>
      </c>
      <c r="AX77" t="inlineStr">
        <is>
          <t>991002411029702656</t>
        </is>
      </c>
      <c r="AY77" t="inlineStr">
        <is>
          <t>2255270220002656</t>
        </is>
      </c>
      <c r="AZ77" t="inlineStr">
        <is>
          <t>BOOK</t>
        </is>
      </c>
      <c r="BB77" t="inlineStr">
        <is>
          <t>9780891350989</t>
        </is>
      </c>
      <c r="BC77" t="inlineStr">
        <is>
          <t>32285002007721</t>
        </is>
      </c>
      <c r="BD77" t="inlineStr">
        <is>
          <t>893335272</t>
        </is>
      </c>
    </row>
    <row r="78">
      <c r="A78" t="inlineStr">
        <is>
          <t>No</t>
        </is>
      </c>
      <c r="B78" t="inlineStr">
        <is>
          <t>BV1488 .M67</t>
        </is>
      </c>
      <c r="C78" t="inlineStr">
        <is>
          <t>0                      BV 1488000M  67</t>
        </is>
      </c>
      <c r="D78" t="inlineStr">
        <is>
          <t>Education toward adulthood / Gabriel Moran.</t>
        </is>
      </c>
      <c r="F78" t="inlineStr">
        <is>
          <t>No</t>
        </is>
      </c>
      <c r="G78" t="inlineStr">
        <is>
          <t>1</t>
        </is>
      </c>
      <c r="H78" t="inlineStr">
        <is>
          <t>No</t>
        </is>
      </c>
      <c r="I78" t="inlineStr">
        <is>
          <t>No</t>
        </is>
      </c>
      <c r="J78" t="inlineStr">
        <is>
          <t>0</t>
        </is>
      </c>
      <c r="K78" t="inlineStr">
        <is>
          <t>Moran, Gabriel.</t>
        </is>
      </c>
      <c r="L78" t="inlineStr">
        <is>
          <t>New York : Paulist Press, c1979.</t>
        </is>
      </c>
      <c r="M78" t="inlineStr">
        <is>
          <t>1979</t>
        </is>
      </c>
      <c r="O78" t="inlineStr">
        <is>
          <t>eng</t>
        </is>
      </c>
      <c r="P78" t="inlineStr">
        <is>
          <t>nyu</t>
        </is>
      </c>
      <c r="R78" t="inlineStr">
        <is>
          <t xml:space="preserve">BV </t>
        </is>
      </c>
      <c r="S78" t="n">
        <v>5</v>
      </c>
      <c r="T78" t="n">
        <v>5</v>
      </c>
      <c r="U78" t="inlineStr">
        <is>
          <t>1993-10-29</t>
        </is>
      </c>
      <c r="V78" t="inlineStr">
        <is>
          <t>1993-10-29</t>
        </is>
      </c>
      <c r="W78" t="inlineStr">
        <is>
          <t>1992-02-03</t>
        </is>
      </c>
      <c r="X78" t="inlineStr">
        <is>
          <t>1992-02-03</t>
        </is>
      </c>
      <c r="Y78" t="n">
        <v>248</v>
      </c>
      <c r="Z78" t="n">
        <v>210</v>
      </c>
      <c r="AA78" t="n">
        <v>210</v>
      </c>
      <c r="AB78" t="n">
        <v>2</v>
      </c>
      <c r="AC78" t="n">
        <v>2</v>
      </c>
      <c r="AD78" t="n">
        <v>19</v>
      </c>
      <c r="AE78" t="n">
        <v>19</v>
      </c>
      <c r="AF78" t="n">
        <v>7</v>
      </c>
      <c r="AG78" t="n">
        <v>7</v>
      </c>
      <c r="AH78" t="n">
        <v>4</v>
      </c>
      <c r="AI78" t="n">
        <v>4</v>
      </c>
      <c r="AJ78" t="n">
        <v>14</v>
      </c>
      <c r="AK78" t="n">
        <v>14</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HYPERLINK("https://creighton-primo.hosted.exlibrisgroup.com/primo-explore/search?tab=default_tab&amp;search_scope=EVERYTHING&amp;vid=01CRU&amp;lang=en_US&amp;offset=0&amp;query=any,contains,991004793529702656","Catalog Record")</f>
        <v/>
      </c>
      <c r="AT78">
        <f>HYPERLINK("http://www.worldcat.org/oclc/5172385","WorldCat Record")</f>
        <v/>
      </c>
      <c r="AU78" t="inlineStr">
        <is>
          <t>16441700:eng</t>
        </is>
      </c>
      <c r="AV78" t="inlineStr">
        <is>
          <t>5172385</t>
        </is>
      </c>
      <c r="AW78" t="inlineStr">
        <is>
          <t>991004793529702656</t>
        </is>
      </c>
      <c r="AX78" t="inlineStr">
        <is>
          <t>991004793529702656</t>
        </is>
      </c>
      <c r="AY78" t="inlineStr">
        <is>
          <t>2256263710002656</t>
        </is>
      </c>
      <c r="AZ78" t="inlineStr">
        <is>
          <t>BOOK</t>
        </is>
      </c>
      <c r="BB78" t="inlineStr">
        <is>
          <t>9780809121946</t>
        </is>
      </c>
      <c r="BC78" t="inlineStr">
        <is>
          <t>32285000926971</t>
        </is>
      </c>
      <c r="BD78" t="inlineStr">
        <is>
          <t>893795283</t>
        </is>
      </c>
    </row>
    <row r="79">
      <c r="A79" t="inlineStr">
        <is>
          <t>No</t>
        </is>
      </c>
      <c r="B79" t="inlineStr">
        <is>
          <t>BV1488 .P68 1986</t>
        </is>
      </c>
      <c r="C79" t="inlineStr">
        <is>
          <t>0                      BV 1488000P  68          1986</t>
        </is>
      </c>
      <c r="D79" t="inlineStr">
        <is>
          <t>How to form a catechumenate team / Karen M. Hinman.</t>
        </is>
      </c>
      <c r="F79" t="inlineStr">
        <is>
          <t>No</t>
        </is>
      </c>
      <c r="G79" t="inlineStr">
        <is>
          <t>1</t>
        </is>
      </c>
      <c r="H79" t="inlineStr">
        <is>
          <t>No</t>
        </is>
      </c>
      <c r="I79" t="inlineStr">
        <is>
          <t>No</t>
        </is>
      </c>
      <c r="J79" t="inlineStr">
        <is>
          <t>0</t>
        </is>
      </c>
      <c r="K79" t="inlineStr">
        <is>
          <t>Powell, Karan H. (Karan Hinman), 1953-</t>
        </is>
      </c>
      <c r="L79" t="inlineStr">
        <is>
          <t>Chicago, Ill. : Liturgy Training Publications, c1986.</t>
        </is>
      </c>
      <c r="M79" t="inlineStr">
        <is>
          <t>1986</t>
        </is>
      </c>
      <c r="O79" t="inlineStr">
        <is>
          <t>eng</t>
        </is>
      </c>
      <c r="P79" t="inlineStr">
        <is>
          <t>ilu</t>
        </is>
      </c>
      <c r="Q79" t="inlineStr">
        <is>
          <t>Christian initiation series</t>
        </is>
      </c>
      <c r="R79" t="inlineStr">
        <is>
          <t xml:space="preserve">BV </t>
        </is>
      </c>
      <c r="S79" t="n">
        <v>1</v>
      </c>
      <c r="T79" t="n">
        <v>1</v>
      </c>
      <c r="U79" t="inlineStr">
        <is>
          <t>2005-04-13</t>
        </is>
      </c>
      <c r="V79" t="inlineStr">
        <is>
          <t>2005-04-13</t>
        </is>
      </c>
      <c r="W79" t="inlineStr">
        <is>
          <t>2005-04-13</t>
        </is>
      </c>
      <c r="X79" t="inlineStr">
        <is>
          <t>2005-04-13</t>
        </is>
      </c>
      <c r="Y79" t="n">
        <v>48</v>
      </c>
      <c r="Z79" t="n">
        <v>38</v>
      </c>
      <c r="AA79" t="n">
        <v>38</v>
      </c>
      <c r="AB79" t="n">
        <v>1</v>
      </c>
      <c r="AC79" t="n">
        <v>1</v>
      </c>
      <c r="AD79" t="n">
        <v>4</v>
      </c>
      <c r="AE79" t="n">
        <v>4</v>
      </c>
      <c r="AF79" t="n">
        <v>1</v>
      </c>
      <c r="AG79" t="n">
        <v>1</v>
      </c>
      <c r="AH79" t="n">
        <v>1</v>
      </c>
      <c r="AI79" t="n">
        <v>1</v>
      </c>
      <c r="AJ79" t="n">
        <v>3</v>
      </c>
      <c r="AK79" t="n">
        <v>3</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HYPERLINK("https://creighton-primo.hosted.exlibrisgroup.com/primo-explore/search?tab=default_tab&amp;search_scope=EVERYTHING&amp;vid=01CRU&amp;lang=en_US&amp;offset=0&amp;query=any,contains,991004529749702656","Catalog Record")</f>
        <v/>
      </c>
      <c r="AT79">
        <f>HYPERLINK("http://www.worldcat.org/oclc/15025891","WorldCat Record")</f>
        <v/>
      </c>
      <c r="AU79" t="inlineStr">
        <is>
          <t>8814125:eng</t>
        </is>
      </c>
      <c r="AV79" t="inlineStr">
        <is>
          <t>15025891</t>
        </is>
      </c>
      <c r="AW79" t="inlineStr">
        <is>
          <t>991004529749702656</t>
        </is>
      </c>
      <c r="AX79" t="inlineStr">
        <is>
          <t>991004529749702656</t>
        </is>
      </c>
      <c r="AY79" t="inlineStr">
        <is>
          <t>2271711650002656</t>
        </is>
      </c>
      <c r="AZ79" t="inlineStr">
        <is>
          <t>BOOK</t>
        </is>
      </c>
      <c r="BB79" t="inlineStr">
        <is>
          <t>9780930467531</t>
        </is>
      </c>
      <c r="BC79" t="inlineStr">
        <is>
          <t>32285005030597</t>
        </is>
      </c>
      <c r="BD79" t="inlineStr">
        <is>
          <t>893253793</t>
        </is>
      </c>
    </row>
    <row r="80">
      <c r="A80" t="inlineStr">
        <is>
          <t>No</t>
        </is>
      </c>
      <c r="B80" t="inlineStr">
        <is>
          <t>BV1489 .V63 1984</t>
        </is>
      </c>
      <c r="C80" t="inlineStr">
        <is>
          <t>0                      BV 1489000V  63          1984</t>
        </is>
      </c>
      <c r="D80" t="inlineStr">
        <is>
          <t>The religious education of older adults / Linda Jane Vogel.</t>
        </is>
      </c>
      <c r="F80" t="inlineStr">
        <is>
          <t>No</t>
        </is>
      </c>
      <c r="G80" t="inlineStr">
        <is>
          <t>1</t>
        </is>
      </c>
      <c r="H80" t="inlineStr">
        <is>
          <t>No</t>
        </is>
      </c>
      <c r="I80" t="inlineStr">
        <is>
          <t>No</t>
        </is>
      </c>
      <c r="J80" t="inlineStr">
        <is>
          <t>0</t>
        </is>
      </c>
      <c r="K80" t="inlineStr">
        <is>
          <t>Vogel, Linda Jane.</t>
        </is>
      </c>
      <c r="L80" t="inlineStr">
        <is>
          <t>Birmingham, Ala. : Religious Education Press, 1984.</t>
        </is>
      </c>
      <c r="M80" t="inlineStr">
        <is>
          <t>1983</t>
        </is>
      </c>
      <c r="O80" t="inlineStr">
        <is>
          <t>eng</t>
        </is>
      </c>
      <c r="P80" t="inlineStr">
        <is>
          <t>alu</t>
        </is>
      </c>
      <c r="R80" t="inlineStr">
        <is>
          <t xml:space="preserve">BV </t>
        </is>
      </c>
      <c r="S80" t="n">
        <v>1</v>
      </c>
      <c r="T80" t="n">
        <v>1</v>
      </c>
      <c r="U80" t="inlineStr">
        <is>
          <t>1993-07-14</t>
        </is>
      </c>
      <c r="V80" t="inlineStr">
        <is>
          <t>1993-07-14</t>
        </is>
      </c>
      <c r="W80" t="inlineStr">
        <is>
          <t>1992-02-03</t>
        </is>
      </c>
      <c r="X80" t="inlineStr">
        <is>
          <t>1992-02-03</t>
        </is>
      </c>
      <c r="Y80" t="n">
        <v>382</v>
      </c>
      <c r="Z80" t="n">
        <v>324</v>
      </c>
      <c r="AA80" t="n">
        <v>336</v>
      </c>
      <c r="AB80" t="n">
        <v>4</v>
      </c>
      <c r="AC80" t="n">
        <v>4</v>
      </c>
      <c r="AD80" t="n">
        <v>22</v>
      </c>
      <c r="AE80" t="n">
        <v>22</v>
      </c>
      <c r="AF80" t="n">
        <v>7</v>
      </c>
      <c r="AG80" t="n">
        <v>7</v>
      </c>
      <c r="AH80" t="n">
        <v>3</v>
      </c>
      <c r="AI80" t="n">
        <v>3</v>
      </c>
      <c r="AJ80" t="n">
        <v>14</v>
      </c>
      <c r="AK80" t="n">
        <v>14</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HYPERLINK("https://creighton-primo.hosted.exlibrisgroup.com/primo-explore/search?tab=default_tab&amp;search_scope=EVERYTHING&amp;vid=01CRU&amp;lang=en_US&amp;offset=0&amp;query=any,contains,991000301939702656","Catalog Record")</f>
        <v/>
      </c>
      <c r="AT80">
        <f>HYPERLINK("http://www.worldcat.org/oclc/10023186","WorldCat Record")</f>
        <v/>
      </c>
      <c r="AU80" t="inlineStr">
        <is>
          <t>3471211:eng</t>
        </is>
      </c>
      <c r="AV80" t="inlineStr">
        <is>
          <t>10023186</t>
        </is>
      </c>
      <c r="AW80" t="inlineStr">
        <is>
          <t>991000301939702656</t>
        </is>
      </c>
      <c r="AX80" t="inlineStr">
        <is>
          <t>991000301939702656</t>
        </is>
      </c>
      <c r="AY80" t="inlineStr">
        <is>
          <t>2268718270002656</t>
        </is>
      </c>
      <c r="AZ80" t="inlineStr">
        <is>
          <t>BOOK</t>
        </is>
      </c>
      <c r="BB80" t="inlineStr">
        <is>
          <t>9780891350408</t>
        </is>
      </c>
      <c r="BC80" t="inlineStr">
        <is>
          <t>32285000927003</t>
        </is>
      </c>
      <c r="BD80" t="inlineStr">
        <is>
          <t>893620361</t>
        </is>
      </c>
    </row>
    <row r="81">
      <c r="A81" t="inlineStr">
        <is>
          <t>No</t>
        </is>
      </c>
      <c r="B81" t="inlineStr">
        <is>
          <t>BV15 .B87 1982</t>
        </is>
      </c>
      <c r="C81" t="inlineStr">
        <is>
          <t>0                      BV 0015000B  87          1982</t>
        </is>
      </c>
      <c r="D81" t="inlineStr">
        <is>
          <t>Worship / by John E. Burkhart.</t>
        </is>
      </c>
      <c r="F81" t="inlineStr">
        <is>
          <t>No</t>
        </is>
      </c>
      <c r="G81" t="inlineStr">
        <is>
          <t>1</t>
        </is>
      </c>
      <c r="H81" t="inlineStr">
        <is>
          <t>No</t>
        </is>
      </c>
      <c r="I81" t="inlineStr">
        <is>
          <t>No</t>
        </is>
      </c>
      <c r="J81" t="inlineStr">
        <is>
          <t>0</t>
        </is>
      </c>
      <c r="K81" t="inlineStr">
        <is>
          <t>Burkhart, John E. (John Ernest), 1927-</t>
        </is>
      </c>
      <c r="L81" t="inlineStr">
        <is>
          <t>Philadelphia : Westminster Press, c1982.</t>
        </is>
      </c>
      <c r="M81" t="inlineStr">
        <is>
          <t>1982</t>
        </is>
      </c>
      <c r="N81" t="inlineStr">
        <is>
          <t>1st ed.</t>
        </is>
      </c>
      <c r="O81" t="inlineStr">
        <is>
          <t>eng</t>
        </is>
      </c>
      <c r="P81" t="inlineStr">
        <is>
          <t>pau</t>
        </is>
      </c>
      <c r="R81" t="inlineStr">
        <is>
          <t xml:space="preserve">BV </t>
        </is>
      </c>
      <c r="S81" t="n">
        <v>1</v>
      </c>
      <c r="T81" t="n">
        <v>1</v>
      </c>
      <c r="U81" t="inlineStr">
        <is>
          <t>1993-07-07</t>
        </is>
      </c>
      <c r="V81" t="inlineStr">
        <is>
          <t>1993-07-07</t>
        </is>
      </c>
      <c r="W81" t="inlineStr">
        <is>
          <t>1990-03-27</t>
        </is>
      </c>
      <c r="X81" t="inlineStr">
        <is>
          <t>1990-03-27</t>
        </is>
      </c>
      <c r="Y81" t="n">
        <v>309</v>
      </c>
      <c r="Z81" t="n">
        <v>264</v>
      </c>
      <c r="AA81" t="n">
        <v>270</v>
      </c>
      <c r="AB81" t="n">
        <v>1</v>
      </c>
      <c r="AC81" t="n">
        <v>1</v>
      </c>
      <c r="AD81" t="n">
        <v>21</v>
      </c>
      <c r="AE81" t="n">
        <v>21</v>
      </c>
      <c r="AF81" t="n">
        <v>8</v>
      </c>
      <c r="AG81" t="n">
        <v>8</v>
      </c>
      <c r="AH81" t="n">
        <v>4</v>
      </c>
      <c r="AI81" t="n">
        <v>4</v>
      </c>
      <c r="AJ81" t="n">
        <v>13</v>
      </c>
      <c r="AK81" t="n">
        <v>13</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HYPERLINK("https://creighton-primo.hosted.exlibrisgroup.com/primo-explore/search?tab=default_tab&amp;search_scope=EVERYTHING&amp;vid=01CRU&amp;lang=en_US&amp;offset=0&amp;query=any,contains,991005205369702656","Catalog Record")</f>
        <v/>
      </c>
      <c r="AT81">
        <f>HYPERLINK("http://www.worldcat.org/oclc/8114139","WorldCat Record")</f>
        <v/>
      </c>
      <c r="AU81" t="inlineStr">
        <is>
          <t>3901457099:eng</t>
        </is>
      </c>
      <c r="AV81" t="inlineStr">
        <is>
          <t>8114139</t>
        </is>
      </c>
      <c r="AW81" t="inlineStr">
        <is>
          <t>991005205369702656</t>
        </is>
      </c>
      <c r="AX81" t="inlineStr">
        <is>
          <t>991005205369702656</t>
        </is>
      </c>
      <c r="AY81" t="inlineStr">
        <is>
          <t>2255331470002656</t>
        </is>
      </c>
      <c r="AZ81" t="inlineStr">
        <is>
          <t>BOOK</t>
        </is>
      </c>
      <c r="BB81" t="inlineStr">
        <is>
          <t>9780664244095</t>
        </is>
      </c>
      <c r="BC81" t="inlineStr">
        <is>
          <t>32285000098318</t>
        </is>
      </c>
      <c r="BD81" t="inlineStr">
        <is>
          <t>893527101</t>
        </is>
      </c>
    </row>
    <row r="82">
      <c r="A82" t="inlineStr">
        <is>
          <t>No</t>
        </is>
      </c>
      <c r="B82" t="inlineStr">
        <is>
          <t>BV15 .G87 1989</t>
        </is>
      </c>
      <c r="C82" t="inlineStr">
        <is>
          <t>0                      BV 0015000G  87          1989</t>
        </is>
      </c>
      <c r="D82" t="inlineStr">
        <is>
          <t>Wholesome worship / Charles Gusmer ; foreword by Balthasar Fischer.</t>
        </is>
      </c>
      <c r="F82" t="inlineStr">
        <is>
          <t>No</t>
        </is>
      </c>
      <c r="G82" t="inlineStr">
        <is>
          <t>1</t>
        </is>
      </c>
      <c r="H82" t="inlineStr">
        <is>
          <t>No</t>
        </is>
      </c>
      <c r="I82" t="inlineStr">
        <is>
          <t>No</t>
        </is>
      </c>
      <c r="J82" t="inlineStr">
        <is>
          <t>0</t>
        </is>
      </c>
      <c r="K82" t="inlineStr">
        <is>
          <t>Gusmer, Charles W.</t>
        </is>
      </c>
      <c r="L82" t="inlineStr">
        <is>
          <t>Washington, DC : Pastoral Press, 1989.</t>
        </is>
      </c>
      <c r="M82" t="inlineStr">
        <is>
          <t>1989</t>
        </is>
      </c>
      <c r="O82" t="inlineStr">
        <is>
          <t>eng</t>
        </is>
      </c>
      <c r="P82" t="inlineStr">
        <is>
          <t>dcu</t>
        </is>
      </c>
      <c r="R82" t="inlineStr">
        <is>
          <t xml:space="preserve">BV </t>
        </is>
      </c>
      <c r="S82" t="n">
        <v>2</v>
      </c>
      <c r="T82" t="n">
        <v>2</v>
      </c>
      <c r="U82" t="inlineStr">
        <is>
          <t>2005-01-07</t>
        </is>
      </c>
      <c r="V82" t="inlineStr">
        <is>
          <t>2005-01-07</t>
        </is>
      </c>
      <c r="W82" t="inlineStr">
        <is>
          <t>1990-10-01</t>
        </is>
      </c>
      <c r="X82" t="inlineStr">
        <is>
          <t>1990-10-01</t>
        </is>
      </c>
      <c r="Y82" t="n">
        <v>98</v>
      </c>
      <c r="Z82" t="n">
        <v>85</v>
      </c>
      <c r="AA82" t="n">
        <v>85</v>
      </c>
      <c r="AB82" t="n">
        <v>1</v>
      </c>
      <c r="AC82" t="n">
        <v>1</v>
      </c>
      <c r="AD82" t="n">
        <v>12</v>
      </c>
      <c r="AE82" t="n">
        <v>12</v>
      </c>
      <c r="AF82" t="n">
        <v>4</v>
      </c>
      <c r="AG82" t="n">
        <v>4</v>
      </c>
      <c r="AH82" t="n">
        <v>4</v>
      </c>
      <c r="AI82" t="n">
        <v>4</v>
      </c>
      <c r="AJ82" t="n">
        <v>5</v>
      </c>
      <c r="AK82" t="n">
        <v>5</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HYPERLINK("https://creighton-primo.hosted.exlibrisgroup.com/primo-explore/search?tab=default_tab&amp;search_scope=EVERYTHING&amp;vid=01CRU&amp;lang=en_US&amp;offset=0&amp;query=any,contains,991001727029702656","Catalog Record")</f>
        <v/>
      </c>
      <c r="AT82">
        <f>HYPERLINK("http://www.worldcat.org/oclc/21894531","WorldCat Record")</f>
        <v/>
      </c>
      <c r="AU82" t="inlineStr">
        <is>
          <t>23826818:eng</t>
        </is>
      </c>
      <c r="AV82" t="inlineStr">
        <is>
          <t>21894531</t>
        </is>
      </c>
      <c r="AW82" t="inlineStr">
        <is>
          <t>991001727029702656</t>
        </is>
      </c>
      <c r="AX82" t="inlineStr">
        <is>
          <t>991001727029702656</t>
        </is>
      </c>
      <c r="AY82" t="inlineStr">
        <is>
          <t>2263955170002656</t>
        </is>
      </c>
      <c r="AZ82" t="inlineStr">
        <is>
          <t>BOOK</t>
        </is>
      </c>
      <c r="BB82" t="inlineStr">
        <is>
          <t>9780912405612</t>
        </is>
      </c>
      <c r="BC82" t="inlineStr">
        <is>
          <t>32285000278506</t>
        </is>
      </c>
      <c r="BD82" t="inlineStr">
        <is>
          <t>893414423</t>
        </is>
      </c>
    </row>
    <row r="83">
      <c r="A83" t="inlineStr">
        <is>
          <t>No</t>
        </is>
      </c>
      <c r="B83" t="inlineStr">
        <is>
          <t>BV15 .S34 1998</t>
        </is>
      </c>
      <c r="C83" t="inlineStr">
        <is>
          <t>0                      BV 0015000S  34          1998</t>
        </is>
      </c>
      <c r="D83" t="inlineStr">
        <is>
          <t>Searching for seekers : ministry for a new generation of the unchurched / Mary J. Scifres.</t>
        </is>
      </c>
      <c r="F83" t="inlineStr">
        <is>
          <t>No</t>
        </is>
      </c>
      <c r="G83" t="inlineStr">
        <is>
          <t>1</t>
        </is>
      </c>
      <c r="H83" t="inlineStr">
        <is>
          <t>No</t>
        </is>
      </c>
      <c r="I83" t="inlineStr">
        <is>
          <t>No</t>
        </is>
      </c>
      <c r="J83" t="inlineStr">
        <is>
          <t>0</t>
        </is>
      </c>
      <c r="K83" t="inlineStr">
        <is>
          <t>Scifres, Mary J.</t>
        </is>
      </c>
      <c r="L83" t="inlineStr">
        <is>
          <t>Nashville, TN : Abingdon Press, c1998.</t>
        </is>
      </c>
      <c r="M83" t="inlineStr">
        <is>
          <t>1998</t>
        </is>
      </c>
      <c r="O83" t="inlineStr">
        <is>
          <t>eng</t>
        </is>
      </c>
      <c r="P83" t="inlineStr">
        <is>
          <t>tnu</t>
        </is>
      </c>
      <c r="R83" t="inlineStr">
        <is>
          <t xml:space="preserve">BV </t>
        </is>
      </c>
      <c r="S83" t="n">
        <v>5</v>
      </c>
      <c r="T83" t="n">
        <v>5</v>
      </c>
      <c r="U83" t="inlineStr">
        <is>
          <t>2005-02-03</t>
        </is>
      </c>
      <c r="V83" t="inlineStr">
        <is>
          <t>2005-02-03</t>
        </is>
      </c>
      <c r="W83" t="inlineStr">
        <is>
          <t>1999-02-17</t>
        </is>
      </c>
      <c r="X83" t="inlineStr">
        <is>
          <t>1999-02-17</t>
        </is>
      </c>
      <c r="Y83" t="n">
        <v>139</v>
      </c>
      <c r="Z83" t="n">
        <v>127</v>
      </c>
      <c r="AA83" t="n">
        <v>135</v>
      </c>
      <c r="AB83" t="n">
        <v>4</v>
      </c>
      <c r="AC83" t="n">
        <v>5</v>
      </c>
      <c r="AD83" t="n">
        <v>10</v>
      </c>
      <c r="AE83" t="n">
        <v>11</v>
      </c>
      <c r="AF83" t="n">
        <v>4</v>
      </c>
      <c r="AG83" t="n">
        <v>4</v>
      </c>
      <c r="AH83" t="n">
        <v>0</v>
      </c>
      <c r="AI83" t="n">
        <v>0</v>
      </c>
      <c r="AJ83" t="n">
        <v>4</v>
      </c>
      <c r="AK83" t="n">
        <v>4</v>
      </c>
      <c r="AL83" t="n">
        <v>3</v>
      </c>
      <c r="AM83" t="n">
        <v>4</v>
      </c>
      <c r="AN83" t="n">
        <v>0</v>
      </c>
      <c r="AO83" t="n">
        <v>0</v>
      </c>
      <c r="AP83" t="inlineStr">
        <is>
          <t>No</t>
        </is>
      </c>
      <c r="AQ83" t="inlineStr">
        <is>
          <t>No</t>
        </is>
      </c>
      <c r="AS83">
        <f>HYPERLINK("https://creighton-primo.hosted.exlibrisgroup.com/primo-explore/search?tab=default_tab&amp;search_scope=EVERYTHING&amp;vid=01CRU&amp;lang=en_US&amp;offset=0&amp;query=any,contains,991002976419702656","Catalog Record")</f>
        <v/>
      </c>
      <c r="AT83">
        <f>HYPERLINK("http://www.worldcat.org/oclc/39913329","WorldCat Record")</f>
        <v/>
      </c>
      <c r="AU83" t="inlineStr">
        <is>
          <t>17033301:eng</t>
        </is>
      </c>
      <c r="AV83" t="inlineStr">
        <is>
          <t>39913329</t>
        </is>
      </c>
      <c r="AW83" t="inlineStr">
        <is>
          <t>991002976419702656</t>
        </is>
      </c>
      <c r="AX83" t="inlineStr">
        <is>
          <t>991002976419702656</t>
        </is>
      </c>
      <c r="AY83" t="inlineStr">
        <is>
          <t>2266572970002656</t>
        </is>
      </c>
      <c r="AZ83" t="inlineStr">
        <is>
          <t>BOOK</t>
        </is>
      </c>
      <c r="BB83" t="inlineStr">
        <is>
          <t>9780687005529</t>
        </is>
      </c>
      <c r="BC83" t="inlineStr">
        <is>
          <t>32285003483558</t>
        </is>
      </c>
      <c r="BD83" t="inlineStr">
        <is>
          <t>893893235</t>
        </is>
      </c>
    </row>
    <row r="84">
      <c r="A84" t="inlineStr">
        <is>
          <t>No</t>
        </is>
      </c>
      <c r="B84" t="inlineStr">
        <is>
          <t>BV15 .T67 1996</t>
        </is>
      </c>
      <c r="C84" t="inlineStr">
        <is>
          <t>0                      BV 0015000T  67          1996</t>
        </is>
      </c>
      <c r="D84" t="inlineStr">
        <is>
          <t>Worship, community &amp; the triune God of grace / James B. Torrance.</t>
        </is>
      </c>
      <c r="F84" t="inlineStr">
        <is>
          <t>No</t>
        </is>
      </c>
      <c r="G84" t="inlineStr">
        <is>
          <t>1</t>
        </is>
      </c>
      <c r="H84" t="inlineStr">
        <is>
          <t>No</t>
        </is>
      </c>
      <c r="I84" t="inlineStr">
        <is>
          <t>No</t>
        </is>
      </c>
      <c r="J84" t="inlineStr">
        <is>
          <t>0</t>
        </is>
      </c>
      <c r="K84" t="inlineStr">
        <is>
          <t>Torrance, James.</t>
        </is>
      </c>
      <c r="L84" t="inlineStr">
        <is>
          <t>Downers Grove, Ill. : InterVarsity Press, c1996.</t>
        </is>
      </c>
      <c r="M84" t="inlineStr">
        <is>
          <t>1996</t>
        </is>
      </c>
      <c r="O84" t="inlineStr">
        <is>
          <t>eng</t>
        </is>
      </c>
      <c r="P84" t="inlineStr">
        <is>
          <t>ilu</t>
        </is>
      </c>
      <c r="R84" t="inlineStr">
        <is>
          <t xml:space="preserve">BV </t>
        </is>
      </c>
      <c r="S84" t="n">
        <v>7</v>
      </c>
      <c r="T84" t="n">
        <v>7</v>
      </c>
      <c r="U84" t="inlineStr">
        <is>
          <t>2005-10-07</t>
        </is>
      </c>
      <c r="V84" t="inlineStr">
        <is>
          <t>2005-10-07</t>
        </is>
      </c>
      <c r="W84" t="inlineStr">
        <is>
          <t>1999-02-11</t>
        </is>
      </c>
      <c r="X84" t="inlineStr">
        <is>
          <t>1999-02-11</t>
        </is>
      </c>
      <c r="Y84" t="n">
        <v>226</v>
      </c>
      <c r="Z84" t="n">
        <v>191</v>
      </c>
      <c r="AA84" t="n">
        <v>217</v>
      </c>
      <c r="AB84" t="n">
        <v>2</v>
      </c>
      <c r="AC84" t="n">
        <v>2</v>
      </c>
      <c r="AD84" t="n">
        <v>8</v>
      </c>
      <c r="AE84" t="n">
        <v>11</v>
      </c>
      <c r="AF84" t="n">
        <v>4</v>
      </c>
      <c r="AG84" t="n">
        <v>5</v>
      </c>
      <c r="AH84" t="n">
        <v>0</v>
      </c>
      <c r="AI84" t="n">
        <v>1</v>
      </c>
      <c r="AJ84" t="n">
        <v>4</v>
      </c>
      <c r="AK84" t="n">
        <v>7</v>
      </c>
      <c r="AL84" t="n">
        <v>1</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HYPERLINK("https://creighton-primo.hosted.exlibrisgroup.com/primo-explore/search?tab=default_tab&amp;search_scope=EVERYTHING&amp;vid=01CRU&amp;lang=en_US&amp;offset=0&amp;query=any,contains,991002791989702656","Catalog Record")</f>
        <v/>
      </c>
      <c r="AT84">
        <f>HYPERLINK("http://www.worldcat.org/oclc/36662886","WorldCat Record")</f>
        <v/>
      </c>
      <c r="AU84" t="inlineStr">
        <is>
          <t>133819152:eng</t>
        </is>
      </c>
      <c r="AV84" t="inlineStr">
        <is>
          <t>36662886</t>
        </is>
      </c>
      <c r="AW84" t="inlineStr">
        <is>
          <t>991002791989702656</t>
        </is>
      </c>
      <c r="AX84" t="inlineStr">
        <is>
          <t>991002791989702656</t>
        </is>
      </c>
      <c r="AY84" t="inlineStr">
        <is>
          <t>2258288140002656</t>
        </is>
      </c>
      <c r="AZ84" t="inlineStr">
        <is>
          <t>BOOK</t>
        </is>
      </c>
      <c r="BB84" t="inlineStr">
        <is>
          <t>9780830818952</t>
        </is>
      </c>
      <c r="BC84" t="inlineStr">
        <is>
          <t>32285003519260</t>
        </is>
      </c>
      <c r="BD84" t="inlineStr">
        <is>
          <t>893347932</t>
        </is>
      </c>
    </row>
    <row r="85">
      <c r="A85" t="inlineStr">
        <is>
          <t>No</t>
        </is>
      </c>
      <c r="B85" t="inlineStr">
        <is>
          <t>BV15 .W537 1983</t>
        </is>
      </c>
      <c r="C85" t="inlineStr">
        <is>
          <t>0                      BV 0015000W  537         1983</t>
        </is>
      </c>
      <c r="D85" t="inlineStr">
        <is>
          <t>The service of God : Christian work and worship / William H. Willimon ; illustrations by Bruce Sayre.</t>
        </is>
      </c>
      <c r="F85" t="inlineStr">
        <is>
          <t>No</t>
        </is>
      </c>
      <c r="G85" t="inlineStr">
        <is>
          <t>1</t>
        </is>
      </c>
      <c r="H85" t="inlineStr">
        <is>
          <t>No</t>
        </is>
      </c>
      <c r="I85" t="inlineStr">
        <is>
          <t>No</t>
        </is>
      </c>
      <c r="J85" t="inlineStr">
        <is>
          <t>0</t>
        </is>
      </c>
      <c r="K85" t="inlineStr">
        <is>
          <t>Willimon, William H.</t>
        </is>
      </c>
      <c r="L85" t="inlineStr">
        <is>
          <t>Nashville : Abingdon Press, c1983.</t>
        </is>
      </c>
      <c r="M85" t="inlineStr">
        <is>
          <t>1983</t>
        </is>
      </c>
      <c r="O85" t="inlineStr">
        <is>
          <t>eng</t>
        </is>
      </c>
      <c r="P85" t="inlineStr">
        <is>
          <t>tnu</t>
        </is>
      </c>
      <c r="R85" t="inlineStr">
        <is>
          <t xml:space="preserve">BV </t>
        </is>
      </c>
      <c r="S85" t="n">
        <v>3</v>
      </c>
      <c r="T85" t="n">
        <v>3</v>
      </c>
      <c r="U85" t="inlineStr">
        <is>
          <t>1996-01-22</t>
        </is>
      </c>
      <c r="V85" t="inlineStr">
        <is>
          <t>1996-01-22</t>
        </is>
      </c>
      <c r="W85" t="inlineStr">
        <is>
          <t>1991-11-07</t>
        </is>
      </c>
      <c r="X85" t="inlineStr">
        <is>
          <t>1991-11-07</t>
        </is>
      </c>
      <c r="Y85" t="n">
        <v>324</v>
      </c>
      <c r="Z85" t="n">
        <v>272</v>
      </c>
      <c r="AA85" t="n">
        <v>277</v>
      </c>
      <c r="AB85" t="n">
        <v>3</v>
      </c>
      <c r="AC85" t="n">
        <v>3</v>
      </c>
      <c r="AD85" t="n">
        <v>13</v>
      </c>
      <c r="AE85" t="n">
        <v>13</v>
      </c>
      <c r="AF85" t="n">
        <v>7</v>
      </c>
      <c r="AG85" t="n">
        <v>7</v>
      </c>
      <c r="AH85" t="n">
        <v>2</v>
      </c>
      <c r="AI85" t="n">
        <v>2</v>
      </c>
      <c r="AJ85" t="n">
        <v>6</v>
      </c>
      <c r="AK85" t="n">
        <v>6</v>
      </c>
      <c r="AL85" t="n">
        <v>1</v>
      </c>
      <c r="AM85" t="n">
        <v>1</v>
      </c>
      <c r="AN85" t="n">
        <v>0</v>
      </c>
      <c r="AO85" t="n">
        <v>0</v>
      </c>
      <c r="AP85" t="inlineStr">
        <is>
          <t>No</t>
        </is>
      </c>
      <c r="AQ85" t="inlineStr">
        <is>
          <t>No</t>
        </is>
      </c>
      <c r="AS85">
        <f>HYPERLINK("https://creighton-primo.hosted.exlibrisgroup.com/primo-explore/search?tab=default_tab&amp;search_scope=EVERYTHING&amp;vid=01CRU&amp;lang=en_US&amp;offset=0&amp;query=any,contains,991000066979702656","Catalog Record")</f>
        <v/>
      </c>
      <c r="AT85">
        <f>HYPERLINK("http://www.worldcat.org/oclc/8764126","WorldCat Record")</f>
        <v/>
      </c>
      <c r="AU85" t="inlineStr">
        <is>
          <t>367549737:eng</t>
        </is>
      </c>
      <c r="AV85" t="inlineStr">
        <is>
          <t>8764126</t>
        </is>
      </c>
      <c r="AW85" t="inlineStr">
        <is>
          <t>991000066979702656</t>
        </is>
      </c>
      <c r="AX85" t="inlineStr">
        <is>
          <t>991000066979702656</t>
        </is>
      </c>
      <c r="AY85" t="inlineStr">
        <is>
          <t>2265439950002656</t>
        </is>
      </c>
      <c r="AZ85" t="inlineStr">
        <is>
          <t>BOOK</t>
        </is>
      </c>
      <c r="BB85" t="inlineStr">
        <is>
          <t>9780687380947</t>
        </is>
      </c>
      <c r="BC85" t="inlineStr">
        <is>
          <t>32285000809854</t>
        </is>
      </c>
      <c r="BD85" t="inlineStr">
        <is>
          <t>893534029</t>
        </is>
      </c>
    </row>
    <row r="86">
      <c r="A86" t="inlineStr">
        <is>
          <t>No</t>
        </is>
      </c>
      <c r="B86" t="inlineStr">
        <is>
          <t>BV150 .C663 1990</t>
        </is>
      </c>
      <c r="C86" t="inlineStr">
        <is>
          <t>0                      BV 0150000C  663         1990</t>
        </is>
      </c>
      <c r="D86" t="inlineStr">
        <is>
          <t>The distancing of God : the ambiguity of symbol in history and theology / Bernard J. Cooke.</t>
        </is>
      </c>
      <c r="F86" t="inlineStr">
        <is>
          <t>No</t>
        </is>
      </c>
      <c r="G86" t="inlineStr">
        <is>
          <t>1</t>
        </is>
      </c>
      <c r="H86" t="inlineStr">
        <is>
          <t>No</t>
        </is>
      </c>
      <c r="I86" t="inlineStr">
        <is>
          <t>No</t>
        </is>
      </c>
      <c r="J86" t="inlineStr">
        <is>
          <t>0</t>
        </is>
      </c>
      <c r="K86" t="inlineStr">
        <is>
          <t>Cooke, Bernard J., 1922-</t>
        </is>
      </c>
      <c r="L86" t="inlineStr">
        <is>
          <t>Minneapolis : Fortress Press, 1990.</t>
        </is>
      </c>
      <c r="M86" t="inlineStr">
        <is>
          <t>1990</t>
        </is>
      </c>
      <c r="O86" t="inlineStr">
        <is>
          <t>eng</t>
        </is>
      </c>
      <c r="P86" t="inlineStr">
        <is>
          <t>mnu</t>
        </is>
      </c>
      <c r="R86" t="inlineStr">
        <is>
          <t xml:space="preserve">BV </t>
        </is>
      </c>
      <c r="S86" t="n">
        <v>3</v>
      </c>
      <c r="T86" t="n">
        <v>3</v>
      </c>
      <c r="U86" t="inlineStr">
        <is>
          <t>1995-05-03</t>
        </is>
      </c>
      <c r="V86" t="inlineStr">
        <is>
          <t>1995-05-03</t>
        </is>
      </c>
      <c r="W86" t="inlineStr">
        <is>
          <t>1991-03-08</t>
        </is>
      </c>
      <c r="X86" t="inlineStr">
        <is>
          <t>1991-03-08</t>
        </is>
      </c>
      <c r="Y86" t="n">
        <v>399</v>
      </c>
      <c r="Z86" t="n">
        <v>327</v>
      </c>
      <c r="AA86" t="n">
        <v>334</v>
      </c>
      <c r="AB86" t="n">
        <v>2</v>
      </c>
      <c r="AC86" t="n">
        <v>2</v>
      </c>
      <c r="AD86" t="n">
        <v>28</v>
      </c>
      <c r="AE86" t="n">
        <v>28</v>
      </c>
      <c r="AF86" t="n">
        <v>11</v>
      </c>
      <c r="AG86" t="n">
        <v>11</v>
      </c>
      <c r="AH86" t="n">
        <v>8</v>
      </c>
      <c r="AI86" t="n">
        <v>8</v>
      </c>
      <c r="AJ86" t="n">
        <v>20</v>
      </c>
      <c r="AK86" t="n">
        <v>20</v>
      </c>
      <c r="AL86" t="n">
        <v>1</v>
      </c>
      <c r="AM86" t="n">
        <v>1</v>
      </c>
      <c r="AN86" t="n">
        <v>0</v>
      </c>
      <c r="AO86" t="n">
        <v>0</v>
      </c>
      <c r="AP86" t="inlineStr">
        <is>
          <t>No</t>
        </is>
      </c>
      <c r="AQ86" t="inlineStr">
        <is>
          <t>Yes</t>
        </is>
      </c>
      <c r="AR86">
        <f>HYPERLINK("http://catalog.hathitrust.org/Record/002231651","HathiTrust Record")</f>
        <v/>
      </c>
      <c r="AS86">
        <f>HYPERLINK("https://creighton-primo.hosted.exlibrisgroup.com/primo-explore/search?tab=default_tab&amp;search_scope=EVERYTHING&amp;vid=01CRU&amp;lang=en_US&amp;offset=0&amp;query=any,contains,991001537749702656","Catalog Record")</f>
        <v/>
      </c>
      <c r="AT86">
        <f>HYPERLINK("http://www.worldcat.org/oclc/20093396","WorldCat Record")</f>
        <v/>
      </c>
      <c r="AU86" t="inlineStr">
        <is>
          <t>102611045:eng</t>
        </is>
      </c>
      <c r="AV86" t="inlineStr">
        <is>
          <t>20093396</t>
        </is>
      </c>
      <c r="AW86" t="inlineStr">
        <is>
          <t>991001537749702656</t>
        </is>
      </c>
      <c r="AX86" t="inlineStr">
        <is>
          <t>991001537749702656</t>
        </is>
      </c>
      <c r="AY86" t="inlineStr">
        <is>
          <t>2255403570002656</t>
        </is>
      </c>
      <c r="AZ86" t="inlineStr">
        <is>
          <t>BOOK</t>
        </is>
      </c>
      <c r="BB86" t="inlineStr">
        <is>
          <t>9780800624156</t>
        </is>
      </c>
      <c r="BC86" t="inlineStr">
        <is>
          <t>32285000493717</t>
        </is>
      </c>
      <c r="BD86" t="inlineStr">
        <is>
          <t>893684394</t>
        </is>
      </c>
    </row>
    <row r="87">
      <c r="A87" t="inlineStr">
        <is>
          <t>No</t>
        </is>
      </c>
      <c r="B87" t="inlineStr">
        <is>
          <t>BV150 .D55 1996</t>
        </is>
      </c>
      <c r="C87" t="inlineStr">
        <is>
          <t>0                      BV 0150000D  55          1996</t>
        </is>
      </c>
      <c r="D87" t="inlineStr">
        <is>
          <t>Images of truth : religion and the art of seeing / John W. Dixon, Jr.</t>
        </is>
      </c>
      <c r="F87" t="inlineStr">
        <is>
          <t>No</t>
        </is>
      </c>
      <c r="G87" t="inlineStr">
        <is>
          <t>1</t>
        </is>
      </c>
      <c r="H87" t="inlineStr">
        <is>
          <t>No</t>
        </is>
      </c>
      <c r="I87" t="inlineStr">
        <is>
          <t>No</t>
        </is>
      </c>
      <c r="J87" t="inlineStr">
        <is>
          <t>0</t>
        </is>
      </c>
      <c r="K87" t="inlineStr">
        <is>
          <t>Dixon, John W., Jr., 1919-2004.</t>
        </is>
      </c>
      <c r="L87" t="inlineStr">
        <is>
          <t>Atlanta, Ga. : Scholars Press, c1996.</t>
        </is>
      </c>
      <c r="M87" t="inlineStr">
        <is>
          <t>1996</t>
        </is>
      </c>
      <c r="O87" t="inlineStr">
        <is>
          <t>eng</t>
        </is>
      </c>
      <c r="P87" t="inlineStr">
        <is>
          <t>gau</t>
        </is>
      </c>
      <c r="Q87" t="inlineStr">
        <is>
          <t>Ventures in religion ; v. 3</t>
        </is>
      </c>
      <c r="R87" t="inlineStr">
        <is>
          <t xml:space="preserve">BV </t>
        </is>
      </c>
      <c r="S87" t="n">
        <v>2</v>
      </c>
      <c r="T87" t="n">
        <v>2</v>
      </c>
      <c r="U87" t="inlineStr">
        <is>
          <t>2004-03-15</t>
        </is>
      </c>
      <c r="V87" t="inlineStr">
        <is>
          <t>2004-03-15</t>
        </is>
      </c>
      <c r="W87" t="inlineStr">
        <is>
          <t>1999-11-09</t>
        </is>
      </c>
      <c r="X87" t="inlineStr">
        <is>
          <t>1999-11-09</t>
        </is>
      </c>
      <c r="Y87" t="n">
        <v>188</v>
      </c>
      <c r="Z87" t="n">
        <v>147</v>
      </c>
      <c r="AA87" t="n">
        <v>148</v>
      </c>
      <c r="AB87" t="n">
        <v>2</v>
      </c>
      <c r="AC87" t="n">
        <v>2</v>
      </c>
      <c r="AD87" t="n">
        <v>10</v>
      </c>
      <c r="AE87" t="n">
        <v>10</v>
      </c>
      <c r="AF87" t="n">
        <v>3</v>
      </c>
      <c r="AG87" t="n">
        <v>3</v>
      </c>
      <c r="AH87" t="n">
        <v>1</v>
      </c>
      <c r="AI87" t="n">
        <v>1</v>
      </c>
      <c r="AJ87" t="n">
        <v>6</v>
      </c>
      <c r="AK87" t="n">
        <v>6</v>
      </c>
      <c r="AL87" t="n">
        <v>1</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HYPERLINK("https://creighton-primo.hosted.exlibrisgroup.com/primo-explore/search?tab=default_tab&amp;search_scope=EVERYTHING&amp;vid=01CRU&amp;lang=en_US&amp;offset=0&amp;query=any,contains,991002551559702656","Catalog Record")</f>
        <v/>
      </c>
      <c r="AT87">
        <f>HYPERLINK("http://www.worldcat.org/oclc/33160822","WorldCat Record")</f>
        <v/>
      </c>
      <c r="AU87" t="inlineStr">
        <is>
          <t>119250205:eng</t>
        </is>
      </c>
      <c r="AV87" t="inlineStr">
        <is>
          <t>33160822</t>
        </is>
      </c>
      <c r="AW87" t="inlineStr">
        <is>
          <t>991002551559702656</t>
        </is>
      </c>
      <c r="AX87" t="inlineStr">
        <is>
          <t>991002551559702656</t>
        </is>
      </c>
      <c r="AY87" t="inlineStr">
        <is>
          <t>2263949640002656</t>
        </is>
      </c>
      <c r="AZ87" t="inlineStr">
        <is>
          <t>BOOK</t>
        </is>
      </c>
      <c r="BB87" t="inlineStr">
        <is>
          <t>9780788501838</t>
        </is>
      </c>
      <c r="BC87" t="inlineStr">
        <is>
          <t>32285003619920</t>
        </is>
      </c>
      <c r="BD87" t="inlineStr">
        <is>
          <t>893867377</t>
        </is>
      </c>
    </row>
    <row r="88">
      <c r="A88" t="inlineStr">
        <is>
          <t>No</t>
        </is>
      </c>
      <c r="B88" t="inlineStr">
        <is>
          <t>BV150 .S56 1984</t>
        </is>
      </c>
      <c r="C88" t="inlineStr">
        <is>
          <t>0                      BV 0150000S  56          1984</t>
        </is>
      </c>
      <c r="D88" t="inlineStr">
        <is>
          <t>Iconography and ritual : a study of analytical perspectives / Staale Sinding-Larsen.</t>
        </is>
      </c>
      <c r="F88" t="inlineStr">
        <is>
          <t>No</t>
        </is>
      </c>
      <c r="G88" t="inlineStr">
        <is>
          <t>1</t>
        </is>
      </c>
      <c r="H88" t="inlineStr">
        <is>
          <t>No</t>
        </is>
      </c>
      <c r="I88" t="inlineStr">
        <is>
          <t>No</t>
        </is>
      </c>
      <c r="J88" t="inlineStr">
        <is>
          <t>0</t>
        </is>
      </c>
      <c r="K88" t="inlineStr">
        <is>
          <t>Sinding-Larsen, Staale.</t>
        </is>
      </c>
      <c r="L88" t="inlineStr">
        <is>
          <t>Oslo : Universitetsforlaget As ; Irvington-on-Hudson, N.Y. : U.S., Columbia University Press [distributor], c1984.</t>
        </is>
      </c>
      <c r="M88" t="inlineStr">
        <is>
          <t>1984</t>
        </is>
      </c>
      <c r="O88" t="inlineStr">
        <is>
          <t>eng</t>
        </is>
      </c>
      <c r="P88" t="inlineStr">
        <is>
          <t xml:space="preserve">no </t>
        </is>
      </c>
      <c r="R88" t="inlineStr">
        <is>
          <t xml:space="preserve">BV </t>
        </is>
      </c>
      <c r="S88" t="n">
        <v>6</v>
      </c>
      <c r="T88" t="n">
        <v>6</v>
      </c>
      <c r="U88" t="inlineStr">
        <is>
          <t>2006-01-09</t>
        </is>
      </c>
      <c r="V88" t="inlineStr">
        <is>
          <t>2006-01-09</t>
        </is>
      </c>
      <c r="W88" t="inlineStr">
        <is>
          <t>1991-11-22</t>
        </is>
      </c>
      <c r="X88" t="inlineStr">
        <is>
          <t>1991-11-22</t>
        </is>
      </c>
      <c r="Y88" t="n">
        <v>245</v>
      </c>
      <c r="Z88" t="n">
        <v>171</v>
      </c>
      <c r="AA88" t="n">
        <v>171</v>
      </c>
      <c r="AB88" t="n">
        <v>2</v>
      </c>
      <c r="AC88" t="n">
        <v>2</v>
      </c>
      <c r="AD88" t="n">
        <v>7</v>
      </c>
      <c r="AE88" t="n">
        <v>7</v>
      </c>
      <c r="AF88" t="n">
        <v>2</v>
      </c>
      <c r="AG88" t="n">
        <v>2</v>
      </c>
      <c r="AH88" t="n">
        <v>1</v>
      </c>
      <c r="AI88" t="n">
        <v>1</v>
      </c>
      <c r="AJ88" t="n">
        <v>6</v>
      </c>
      <c r="AK88" t="n">
        <v>6</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HYPERLINK("https://creighton-primo.hosted.exlibrisgroup.com/primo-explore/search?tab=default_tab&amp;search_scope=EVERYTHING&amp;vid=01CRU&amp;lang=en_US&amp;offset=0&amp;query=any,contains,991000615089702656","Catalog Record")</f>
        <v/>
      </c>
      <c r="AT88">
        <f>HYPERLINK("http://www.worldcat.org/oclc/11925635","WorldCat Record")</f>
        <v/>
      </c>
      <c r="AU88" t="inlineStr">
        <is>
          <t>836707862:eng</t>
        </is>
      </c>
      <c r="AV88" t="inlineStr">
        <is>
          <t>11925635</t>
        </is>
      </c>
      <c r="AW88" t="inlineStr">
        <is>
          <t>991000615089702656</t>
        </is>
      </c>
      <c r="AX88" t="inlineStr">
        <is>
          <t>991000615089702656</t>
        </is>
      </c>
      <c r="AY88" t="inlineStr">
        <is>
          <t>2269855380002656</t>
        </is>
      </c>
      <c r="AZ88" t="inlineStr">
        <is>
          <t>BOOK</t>
        </is>
      </c>
      <c r="BB88" t="inlineStr">
        <is>
          <t>9788200073062</t>
        </is>
      </c>
      <c r="BC88" t="inlineStr">
        <is>
          <t>32285000835487</t>
        </is>
      </c>
      <c r="BD88" t="inlineStr">
        <is>
          <t>893689861</t>
        </is>
      </c>
    </row>
    <row r="89">
      <c r="A89" t="inlineStr">
        <is>
          <t>No</t>
        </is>
      </c>
      <c r="B89" t="inlineStr">
        <is>
          <t>BV150 .S89 1980</t>
        </is>
      </c>
      <c r="C89" t="inlineStr">
        <is>
          <t>0                      BV 0150000S  89          1980</t>
        </is>
      </c>
      <c r="D89" t="inlineStr">
        <is>
          <t>The idea of the symbol : some nineteenth century comparisons with Coleridge / M. Jadwiga Swiatecka.</t>
        </is>
      </c>
      <c r="F89" t="inlineStr">
        <is>
          <t>No</t>
        </is>
      </c>
      <c r="G89" t="inlineStr">
        <is>
          <t>1</t>
        </is>
      </c>
      <c r="H89" t="inlineStr">
        <is>
          <t>No</t>
        </is>
      </c>
      <c r="I89" t="inlineStr">
        <is>
          <t>No</t>
        </is>
      </c>
      <c r="J89" t="inlineStr">
        <is>
          <t>0</t>
        </is>
      </c>
      <c r="K89" t="inlineStr">
        <is>
          <t>Swiatecka, M. Jadwiga.</t>
        </is>
      </c>
      <c r="L89" t="inlineStr">
        <is>
          <t>Cambridge [Eng.] : New York : Cambridge University Press, 1980.</t>
        </is>
      </c>
      <c r="M89" t="inlineStr">
        <is>
          <t>1980</t>
        </is>
      </c>
      <c r="O89" t="inlineStr">
        <is>
          <t>eng</t>
        </is>
      </c>
      <c r="P89" t="inlineStr">
        <is>
          <t>enk</t>
        </is>
      </c>
      <c r="R89" t="inlineStr">
        <is>
          <t xml:space="preserve">BV </t>
        </is>
      </c>
      <c r="S89" t="n">
        <v>4</v>
      </c>
      <c r="T89" t="n">
        <v>4</v>
      </c>
      <c r="U89" t="inlineStr">
        <is>
          <t>1997-09-30</t>
        </is>
      </c>
      <c r="V89" t="inlineStr">
        <is>
          <t>1997-09-30</t>
        </is>
      </c>
      <c r="W89" t="inlineStr">
        <is>
          <t>1991-11-22</t>
        </is>
      </c>
      <c r="X89" t="inlineStr">
        <is>
          <t>1991-11-22</t>
        </is>
      </c>
      <c r="Y89" t="n">
        <v>382</v>
      </c>
      <c r="Z89" t="n">
        <v>267</v>
      </c>
      <c r="AA89" t="n">
        <v>274</v>
      </c>
      <c r="AB89" t="n">
        <v>3</v>
      </c>
      <c r="AC89" t="n">
        <v>3</v>
      </c>
      <c r="AD89" t="n">
        <v>13</v>
      </c>
      <c r="AE89" t="n">
        <v>13</v>
      </c>
      <c r="AF89" t="n">
        <v>2</v>
      </c>
      <c r="AG89" t="n">
        <v>2</v>
      </c>
      <c r="AH89" t="n">
        <v>5</v>
      </c>
      <c r="AI89" t="n">
        <v>5</v>
      </c>
      <c r="AJ89" t="n">
        <v>7</v>
      </c>
      <c r="AK89" t="n">
        <v>7</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HYPERLINK("https://creighton-primo.hosted.exlibrisgroup.com/primo-explore/search?tab=default_tab&amp;search_scope=EVERYTHING&amp;vid=01CRU&amp;lang=en_US&amp;offset=0&amp;query=any,contains,991004815769702656","Catalog Record")</f>
        <v/>
      </c>
      <c r="AT89">
        <f>HYPERLINK("http://www.worldcat.org/oclc/5310113","WorldCat Record")</f>
        <v/>
      </c>
      <c r="AU89" t="inlineStr">
        <is>
          <t>17272633:eng</t>
        </is>
      </c>
      <c r="AV89" t="inlineStr">
        <is>
          <t>5310113</t>
        </is>
      </c>
      <c r="AW89" t="inlineStr">
        <is>
          <t>991004815769702656</t>
        </is>
      </c>
      <c r="AX89" t="inlineStr">
        <is>
          <t>991004815769702656</t>
        </is>
      </c>
      <c r="AY89" t="inlineStr">
        <is>
          <t>2264386270002656</t>
        </is>
      </c>
      <c r="AZ89" t="inlineStr">
        <is>
          <t>BOOK</t>
        </is>
      </c>
      <c r="BB89" t="inlineStr">
        <is>
          <t>9780521223621</t>
        </is>
      </c>
      <c r="BC89" t="inlineStr">
        <is>
          <t>32285000835495</t>
        </is>
      </c>
      <c r="BD89" t="inlineStr">
        <is>
          <t>893418054</t>
        </is>
      </c>
    </row>
    <row r="90">
      <c r="A90" t="inlineStr">
        <is>
          <t>No</t>
        </is>
      </c>
      <c r="B90" t="inlineStr">
        <is>
          <t>BV150 .U76 1966</t>
        </is>
      </c>
      <c r="C90" t="inlineStr">
        <is>
          <t>0                      BV 0150000U  76          1966</t>
        </is>
      </c>
      <c r="D90" t="inlineStr">
        <is>
          <t>The Use and misuse of visual arts in religious education / edited by Celia T. Hubbard ; introd. by Mary Perkins Ryan.</t>
        </is>
      </c>
      <c r="F90" t="inlineStr">
        <is>
          <t>No</t>
        </is>
      </c>
      <c r="G90" t="inlineStr">
        <is>
          <t>1</t>
        </is>
      </c>
      <c r="H90" t="inlineStr">
        <is>
          <t>No</t>
        </is>
      </c>
      <c r="I90" t="inlineStr">
        <is>
          <t>No</t>
        </is>
      </c>
      <c r="J90" t="inlineStr">
        <is>
          <t>0</t>
        </is>
      </c>
      <c r="L90" t="inlineStr">
        <is>
          <t>Glen Rock, N.J. : Paulist Press, 1966.</t>
        </is>
      </c>
      <c r="M90" t="inlineStr">
        <is>
          <t>1966</t>
        </is>
      </c>
      <c r="O90" t="inlineStr">
        <is>
          <t>eng</t>
        </is>
      </c>
      <c r="P90" t="inlineStr">
        <is>
          <t>nju</t>
        </is>
      </c>
      <c r="Q90" t="inlineStr">
        <is>
          <t>Let's see ; no. 1</t>
        </is>
      </c>
      <c r="R90" t="inlineStr">
        <is>
          <t xml:space="preserve">BV </t>
        </is>
      </c>
      <c r="S90" t="n">
        <v>3</v>
      </c>
      <c r="T90" t="n">
        <v>3</v>
      </c>
      <c r="U90" t="inlineStr">
        <is>
          <t>1995-05-03</t>
        </is>
      </c>
      <c r="V90" t="inlineStr">
        <is>
          <t>1995-05-03</t>
        </is>
      </c>
      <c r="W90" t="inlineStr">
        <is>
          <t>1991-11-22</t>
        </is>
      </c>
      <c r="X90" t="inlineStr">
        <is>
          <t>1991-11-22</t>
        </is>
      </c>
      <c r="Y90" t="n">
        <v>73</v>
      </c>
      <c r="Z90" t="n">
        <v>60</v>
      </c>
      <c r="AA90" t="n">
        <v>60</v>
      </c>
      <c r="AB90" t="n">
        <v>1</v>
      </c>
      <c r="AC90" t="n">
        <v>1</v>
      </c>
      <c r="AD90" t="n">
        <v>10</v>
      </c>
      <c r="AE90" t="n">
        <v>10</v>
      </c>
      <c r="AF90" t="n">
        <v>0</v>
      </c>
      <c r="AG90" t="n">
        <v>0</v>
      </c>
      <c r="AH90" t="n">
        <v>2</v>
      </c>
      <c r="AI90" t="n">
        <v>2</v>
      </c>
      <c r="AJ90" t="n">
        <v>8</v>
      </c>
      <c r="AK90" t="n">
        <v>8</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HYPERLINK("https://creighton-primo.hosted.exlibrisgroup.com/primo-explore/search?tab=default_tab&amp;search_scope=EVERYTHING&amp;vid=01CRU&amp;lang=en_US&amp;offset=0&amp;query=any,contains,991004167759702656","Catalog Record")</f>
        <v/>
      </c>
      <c r="AT90">
        <f>HYPERLINK("http://www.worldcat.org/oclc/2571377","WorldCat Record")</f>
        <v/>
      </c>
      <c r="AU90" t="inlineStr">
        <is>
          <t>1780660212:eng</t>
        </is>
      </c>
      <c r="AV90" t="inlineStr">
        <is>
          <t>2571377</t>
        </is>
      </c>
      <c r="AW90" t="inlineStr">
        <is>
          <t>991004167759702656</t>
        </is>
      </c>
      <c r="AX90" t="inlineStr">
        <is>
          <t>991004167759702656</t>
        </is>
      </c>
      <c r="AY90" t="inlineStr">
        <is>
          <t>2263243640002656</t>
        </is>
      </c>
      <c r="AZ90" t="inlineStr">
        <is>
          <t>BOOK</t>
        </is>
      </c>
      <c r="BC90" t="inlineStr">
        <is>
          <t>32285000835511</t>
        </is>
      </c>
      <c r="BD90" t="inlineStr">
        <is>
          <t>893525735</t>
        </is>
      </c>
    </row>
    <row r="91">
      <c r="A91" t="inlineStr">
        <is>
          <t>No</t>
        </is>
      </c>
      <c r="B91" t="inlineStr">
        <is>
          <t>BV1516.A1 B69 1988</t>
        </is>
      </c>
      <c r="C91" t="inlineStr">
        <is>
          <t>0                      BV 1516000A  1                  B  69          1988</t>
        </is>
      </c>
      <c r="D91" t="inlineStr">
        <is>
          <t>Sunday school : the formation of an American institution, 1790-1880 / Anne M. Boylan.</t>
        </is>
      </c>
      <c r="F91" t="inlineStr">
        <is>
          <t>No</t>
        </is>
      </c>
      <c r="G91" t="inlineStr">
        <is>
          <t>1</t>
        </is>
      </c>
      <c r="H91" t="inlineStr">
        <is>
          <t>No</t>
        </is>
      </c>
      <c r="I91" t="inlineStr">
        <is>
          <t>No</t>
        </is>
      </c>
      <c r="J91" t="inlineStr">
        <is>
          <t>0</t>
        </is>
      </c>
      <c r="K91" t="inlineStr">
        <is>
          <t>Boylan, Anne M., 1947-</t>
        </is>
      </c>
      <c r="L91" t="inlineStr">
        <is>
          <t>New Haven : Yale University Press, c1988.</t>
        </is>
      </c>
      <c r="M91" t="inlineStr">
        <is>
          <t>1988</t>
        </is>
      </c>
      <c r="O91" t="inlineStr">
        <is>
          <t>eng</t>
        </is>
      </c>
      <c r="P91" t="inlineStr">
        <is>
          <t>ctu</t>
        </is>
      </c>
      <c r="R91" t="inlineStr">
        <is>
          <t xml:space="preserve">BV </t>
        </is>
      </c>
      <c r="S91" t="n">
        <v>5</v>
      </c>
      <c r="T91" t="n">
        <v>5</v>
      </c>
      <c r="U91" t="inlineStr">
        <is>
          <t>1999-07-14</t>
        </is>
      </c>
      <c r="V91" t="inlineStr">
        <is>
          <t>1999-07-14</t>
        </is>
      </c>
      <c r="W91" t="inlineStr">
        <is>
          <t>1997-05-05</t>
        </is>
      </c>
      <c r="X91" t="inlineStr">
        <is>
          <t>1997-05-05</t>
        </is>
      </c>
      <c r="Y91" t="n">
        <v>957</v>
      </c>
      <c r="Z91" t="n">
        <v>863</v>
      </c>
      <c r="AA91" t="n">
        <v>868</v>
      </c>
      <c r="AB91" t="n">
        <v>8</v>
      </c>
      <c r="AC91" t="n">
        <v>8</v>
      </c>
      <c r="AD91" t="n">
        <v>33</v>
      </c>
      <c r="AE91" t="n">
        <v>33</v>
      </c>
      <c r="AF91" t="n">
        <v>11</v>
      </c>
      <c r="AG91" t="n">
        <v>11</v>
      </c>
      <c r="AH91" t="n">
        <v>7</v>
      </c>
      <c r="AI91" t="n">
        <v>7</v>
      </c>
      <c r="AJ91" t="n">
        <v>18</v>
      </c>
      <c r="AK91" t="n">
        <v>18</v>
      </c>
      <c r="AL91" t="n">
        <v>5</v>
      </c>
      <c r="AM91" t="n">
        <v>5</v>
      </c>
      <c r="AN91" t="n">
        <v>1</v>
      </c>
      <c r="AO91" t="n">
        <v>1</v>
      </c>
      <c r="AP91" t="inlineStr">
        <is>
          <t>No</t>
        </is>
      </c>
      <c r="AQ91" t="inlineStr">
        <is>
          <t>No</t>
        </is>
      </c>
      <c r="AS91">
        <f>HYPERLINK("https://creighton-primo.hosted.exlibrisgroup.com/primo-explore/search?tab=default_tab&amp;search_scope=EVERYTHING&amp;vid=01CRU&amp;lang=en_US&amp;offset=0&amp;query=any,contains,991001191579702656","Catalog Record")</f>
        <v/>
      </c>
      <c r="AT91">
        <f>HYPERLINK("http://www.worldcat.org/oclc/17259716","WorldCat Record")</f>
        <v/>
      </c>
      <c r="AU91" t="inlineStr">
        <is>
          <t>232062949:eng</t>
        </is>
      </c>
      <c r="AV91" t="inlineStr">
        <is>
          <t>17259716</t>
        </is>
      </c>
      <c r="AW91" t="inlineStr">
        <is>
          <t>991001191579702656</t>
        </is>
      </c>
      <c r="AX91" t="inlineStr">
        <is>
          <t>991001191579702656</t>
        </is>
      </c>
      <c r="AY91" t="inlineStr">
        <is>
          <t>2256649280002656</t>
        </is>
      </c>
      <c r="AZ91" t="inlineStr">
        <is>
          <t>BOOK</t>
        </is>
      </c>
      <c r="BB91" t="inlineStr">
        <is>
          <t>9780300040197</t>
        </is>
      </c>
      <c r="BC91" t="inlineStr">
        <is>
          <t>32285002544038</t>
        </is>
      </c>
      <c r="BD91" t="inlineStr">
        <is>
          <t>893878707</t>
        </is>
      </c>
    </row>
    <row r="92">
      <c r="A92" t="inlineStr">
        <is>
          <t>No</t>
        </is>
      </c>
      <c r="B92" t="inlineStr">
        <is>
          <t>BV153.E85 C35 1991</t>
        </is>
      </c>
      <c r="C92" t="inlineStr">
        <is>
          <t>0                      BV 0153000E  85                 C  35          1991</t>
        </is>
      </c>
      <c r="D92" t="inlineStr">
        <is>
          <t>The Gothic idol : ideology and image-making in medieval art / Michael Camille.</t>
        </is>
      </c>
      <c r="F92" t="inlineStr">
        <is>
          <t>No</t>
        </is>
      </c>
      <c r="G92" t="inlineStr">
        <is>
          <t>1</t>
        </is>
      </c>
      <c r="H92" t="inlineStr">
        <is>
          <t>No</t>
        </is>
      </c>
      <c r="I92" t="inlineStr">
        <is>
          <t>No</t>
        </is>
      </c>
      <c r="J92" t="inlineStr">
        <is>
          <t>0</t>
        </is>
      </c>
      <c r="K92" t="inlineStr">
        <is>
          <t>Camille, Michael.</t>
        </is>
      </c>
      <c r="L92" t="inlineStr">
        <is>
          <t>Cambridge : Cambridge University Press, 1989</t>
        </is>
      </c>
      <c r="M92" t="inlineStr">
        <is>
          <t>1991</t>
        </is>
      </c>
      <c r="O92" t="inlineStr">
        <is>
          <t>eng</t>
        </is>
      </c>
      <c r="P92" t="inlineStr">
        <is>
          <t>enk</t>
        </is>
      </c>
      <c r="Q92" t="inlineStr">
        <is>
          <t>Cambridge new art history and criticism</t>
        </is>
      </c>
      <c r="R92" t="inlineStr">
        <is>
          <t xml:space="preserve">BV </t>
        </is>
      </c>
      <c r="S92" t="n">
        <v>1</v>
      </c>
      <c r="T92" t="n">
        <v>1</v>
      </c>
      <c r="U92" t="inlineStr">
        <is>
          <t>2006-10-22</t>
        </is>
      </c>
      <c r="V92" t="inlineStr">
        <is>
          <t>2006-10-22</t>
        </is>
      </c>
      <c r="W92" t="inlineStr">
        <is>
          <t>1998-10-20</t>
        </is>
      </c>
      <c r="X92" t="inlineStr">
        <is>
          <t>1998-10-20</t>
        </is>
      </c>
      <c r="Y92" t="n">
        <v>692</v>
      </c>
      <c r="Z92" t="n">
        <v>526</v>
      </c>
      <c r="AA92" t="n">
        <v>532</v>
      </c>
      <c r="AB92" t="n">
        <v>4</v>
      </c>
      <c r="AC92" t="n">
        <v>4</v>
      </c>
      <c r="AD92" t="n">
        <v>28</v>
      </c>
      <c r="AE92" t="n">
        <v>29</v>
      </c>
      <c r="AF92" t="n">
        <v>15</v>
      </c>
      <c r="AG92" t="n">
        <v>15</v>
      </c>
      <c r="AH92" t="n">
        <v>5</v>
      </c>
      <c r="AI92" t="n">
        <v>6</v>
      </c>
      <c r="AJ92" t="n">
        <v>15</v>
      </c>
      <c r="AK92" t="n">
        <v>15</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HYPERLINK("https://creighton-primo.hosted.exlibrisgroup.com/primo-explore/search?tab=default_tab&amp;search_scope=EVERYTHING&amp;vid=01CRU&amp;lang=en_US&amp;offset=0&amp;query=any,contains,991002059379702656","Catalog Record")</f>
        <v/>
      </c>
      <c r="AT92">
        <f>HYPERLINK("http://www.worldcat.org/oclc/18016527","WorldCat Record")</f>
        <v/>
      </c>
      <c r="AU92" t="inlineStr">
        <is>
          <t>9940755:eng</t>
        </is>
      </c>
      <c r="AV92" t="inlineStr">
        <is>
          <t>18016527</t>
        </is>
      </c>
      <c r="AW92" t="inlineStr">
        <is>
          <t>991002059379702656</t>
        </is>
      </c>
      <c r="AX92" t="inlineStr">
        <is>
          <t>991002059379702656</t>
        </is>
      </c>
      <c r="AY92" t="inlineStr">
        <is>
          <t>2268414320002656</t>
        </is>
      </c>
      <c r="AZ92" t="inlineStr">
        <is>
          <t>BOOK</t>
        </is>
      </c>
      <c r="BB92" t="inlineStr">
        <is>
          <t>9780521424301</t>
        </is>
      </c>
      <c r="BC92" t="inlineStr">
        <is>
          <t>32285001448256</t>
        </is>
      </c>
      <c r="BD92" t="inlineStr">
        <is>
          <t>893703621</t>
        </is>
      </c>
    </row>
    <row r="93">
      <c r="A93" t="inlineStr">
        <is>
          <t>No</t>
        </is>
      </c>
      <c r="B93" t="inlineStr">
        <is>
          <t>BV1531 .E57 1999</t>
        </is>
      </c>
      <c r="C93" t="inlineStr">
        <is>
          <t>0                      BV 1531000E  57          1999</t>
        </is>
      </c>
      <c r="D93" t="inlineStr">
        <is>
          <t>Empowering catechetical leaders / edited by Thomas H. Groome and Michael J. Corso.</t>
        </is>
      </c>
      <c r="F93" t="inlineStr">
        <is>
          <t>No</t>
        </is>
      </c>
      <c r="G93" t="inlineStr">
        <is>
          <t>1</t>
        </is>
      </c>
      <c r="H93" t="inlineStr">
        <is>
          <t>No</t>
        </is>
      </c>
      <c r="I93" t="inlineStr">
        <is>
          <t>No</t>
        </is>
      </c>
      <c r="J93" t="inlineStr">
        <is>
          <t>0</t>
        </is>
      </c>
      <c r="L93" t="inlineStr">
        <is>
          <t>Washington, DC : National Catholic Educational Association, c1999.</t>
        </is>
      </c>
      <c r="M93" t="inlineStr">
        <is>
          <t>1999</t>
        </is>
      </c>
      <c r="O93" t="inlineStr">
        <is>
          <t>eng</t>
        </is>
      </c>
      <c r="P93" t="inlineStr">
        <is>
          <t>dcu</t>
        </is>
      </c>
      <c r="R93" t="inlineStr">
        <is>
          <t xml:space="preserve">BV </t>
        </is>
      </c>
      <c r="S93" t="n">
        <v>2</v>
      </c>
      <c r="T93" t="n">
        <v>2</v>
      </c>
      <c r="U93" t="inlineStr">
        <is>
          <t>2003-03-03</t>
        </is>
      </c>
      <c r="V93" t="inlineStr">
        <is>
          <t>2003-03-03</t>
        </is>
      </c>
      <c r="W93" t="inlineStr">
        <is>
          <t>1999-03-31</t>
        </is>
      </c>
      <c r="X93" t="inlineStr">
        <is>
          <t>1999-03-31</t>
        </is>
      </c>
      <c r="Y93" t="n">
        <v>71</v>
      </c>
      <c r="Z93" t="n">
        <v>62</v>
      </c>
      <c r="AA93" t="n">
        <v>64</v>
      </c>
      <c r="AB93" t="n">
        <v>1</v>
      </c>
      <c r="AC93" t="n">
        <v>1</v>
      </c>
      <c r="AD93" t="n">
        <v>12</v>
      </c>
      <c r="AE93" t="n">
        <v>12</v>
      </c>
      <c r="AF93" t="n">
        <v>4</v>
      </c>
      <c r="AG93" t="n">
        <v>4</v>
      </c>
      <c r="AH93" t="n">
        <v>2</v>
      </c>
      <c r="AI93" t="n">
        <v>2</v>
      </c>
      <c r="AJ93" t="n">
        <v>8</v>
      </c>
      <c r="AK93" t="n">
        <v>8</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HYPERLINK("https://creighton-primo.hosted.exlibrisgroup.com/primo-explore/search?tab=default_tab&amp;search_scope=EVERYTHING&amp;vid=01CRU&amp;lang=en_US&amp;offset=0&amp;query=any,contains,991003011749702656","Catalog Record")</f>
        <v/>
      </c>
      <c r="AT93">
        <f>HYPERLINK("http://www.worldcat.org/oclc/40887995","WorldCat Record")</f>
        <v/>
      </c>
      <c r="AU93" t="inlineStr">
        <is>
          <t>26019221:eng</t>
        </is>
      </c>
      <c r="AV93" t="inlineStr">
        <is>
          <t>40887995</t>
        </is>
      </c>
      <c r="AW93" t="inlineStr">
        <is>
          <t>991003011749702656</t>
        </is>
      </c>
      <c r="AX93" t="inlineStr">
        <is>
          <t>991003011749702656</t>
        </is>
      </c>
      <c r="AY93" t="inlineStr">
        <is>
          <t>2271906340002656</t>
        </is>
      </c>
      <c r="AZ93" t="inlineStr">
        <is>
          <t>BOOK</t>
        </is>
      </c>
      <c r="BB93" t="inlineStr">
        <is>
          <t>9781558332195</t>
        </is>
      </c>
      <c r="BC93" t="inlineStr">
        <is>
          <t>32285003547840</t>
        </is>
      </c>
      <c r="BD93" t="inlineStr">
        <is>
          <t>893793226</t>
        </is>
      </c>
    </row>
    <row r="94">
      <c r="A94" t="inlineStr">
        <is>
          <t>No</t>
        </is>
      </c>
      <c r="B94" t="inlineStr">
        <is>
          <t>BV1531 .W38 2003</t>
        </is>
      </c>
      <c r="C94" t="inlineStr">
        <is>
          <t>0                      BV 1531000W  38          2003</t>
        </is>
      </c>
      <c r="D94" t="inlineStr">
        <is>
          <t>Living in an age of hope : a profile of effective catechetical leaders / Thomas P. Walters, Rita Tyson Walters.</t>
        </is>
      </c>
      <c r="F94" t="inlineStr">
        <is>
          <t>No</t>
        </is>
      </c>
      <c r="G94" t="inlineStr">
        <is>
          <t>1</t>
        </is>
      </c>
      <c r="H94" t="inlineStr">
        <is>
          <t>No</t>
        </is>
      </c>
      <c r="I94" t="inlineStr">
        <is>
          <t>No</t>
        </is>
      </c>
      <c r="J94" t="inlineStr">
        <is>
          <t>0</t>
        </is>
      </c>
      <c r="K94" t="inlineStr">
        <is>
          <t>Walters, Thomas P.</t>
        </is>
      </c>
      <c r="L94" t="inlineStr">
        <is>
          <t>Washington, DC : NCEA, c2003.</t>
        </is>
      </c>
      <c r="M94" t="inlineStr">
        <is>
          <t>2003</t>
        </is>
      </c>
      <c r="O94" t="inlineStr">
        <is>
          <t>eng</t>
        </is>
      </c>
      <c r="P94" t="inlineStr">
        <is>
          <t>dcu</t>
        </is>
      </c>
      <c r="R94" t="inlineStr">
        <is>
          <t xml:space="preserve">BV </t>
        </is>
      </c>
      <c r="S94" t="n">
        <v>1</v>
      </c>
      <c r="T94" t="n">
        <v>1</v>
      </c>
      <c r="U94" t="inlineStr">
        <is>
          <t>2003-12-17</t>
        </is>
      </c>
      <c r="V94" t="inlineStr">
        <is>
          <t>2003-12-17</t>
        </is>
      </c>
      <c r="W94" t="inlineStr">
        <is>
          <t>2003-12-17</t>
        </is>
      </c>
      <c r="X94" t="inlineStr">
        <is>
          <t>2003-12-17</t>
        </is>
      </c>
      <c r="Y94" t="n">
        <v>25</v>
      </c>
      <c r="Z94" t="n">
        <v>24</v>
      </c>
      <c r="AA94" t="n">
        <v>24</v>
      </c>
      <c r="AB94" t="n">
        <v>1</v>
      </c>
      <c r="AC94" t="n">
        <v>1</v>
      </c>
      <c r="AD94" t="n">
        <v>6</v>
      </c>
      <c r="AE94" t="n">
        <v>6</v>
      </c>
      <c r="AF94" t="n">
        <v>2</v>
      </c>
      <c r="AG94" t="n">
        <v>2</v>
      </c>
      <c r="AH94" t="n">
        <v>2</v>
      </c>
      <c r="AI94" t="n">
        <v>2</v>
      </c>
      <c r="AJ94" t="n">
        <v>3</v>
      </c>
      <c r="AK94" t="n">
        <v>3</v>
      </c>
      <c r="AL94" t="n">
        <v>0</v>
      </c>
      <c r="AM94" t="n">
        <v>0</v>
      </c>
      <c r="AN94" t="n">
        <v>0</v>
      </c>
      <c r="AO94" t="n">
        <v>0</v>
      </c>
      <c r="AP94" t="inlineStr">
        <is>
          <t>No</t>
        </is>
      </c>
      <c r="AQ94" t="inlineStr">
        <is>
          <t>No</t>
        </is>
      </c>
      <c r="AS94">
        <f>HYPERLINK("https://creighton-primo.hosted.exlibrisgroup.com/primo-explore/search?tab=default_tab&amp;search_scope=EVERYTHING&amp;vid=01CRU&amp;lang=en_US&amp;offset=0&amp;query=any,contains,991004091199702656","Catalog Record")</f>
        <v/>
      </c>
      <c r="AT94">
        <f>HYPERLINK("http://www.worldcat.org/oclc/53323612","WorldCat Record")</f>
        <v/>
      </c>
      <c r="AU94" t="inlineStr">
        <is>
          <t>11317109:eng</t>
        </is>
      </c>
      <c r="AV94" t="inlineStr">
        <is>
          <t>53323612</t>
        </is>
      </c>
      <c r="AW94" t="inlineStr">
        <is>
          <t>991004091199702656</t>
        </is>
      </c>
      <c r="AX94" t="inlineStr">
        <is>
          <t>991004091199702656</t>
        </is>
      </c>
      <c r="AY94" t="inlineStr">
        <is>
          <t>2257861950002656</t>
        </is>
      </c>
      <c r="AZ94" t="inlineStr">
        <is>
          <t>BOOK</t>
        </is>
      </c>
      <c r="BB94" t="inlineStr">
        <is>
          <t>9781558333109</t>
        </is>
      </c>
      <c r="BC94" t="inlineStr">
        <is>
          <t>32285004847835</t>
        </is>
      </c>
      <c r="BD94" t="inlineStr">
        <is>
          <t>893875666</t>
        </is>
      </c>
    </row>
    <row r="95">
      <c r="A95" t="inlineStr">
        <is>
          <t>No</t>
        </is>
      </c>
      <c r="B95" t="inlineStr">
        <is>
          <t>BV1533 .S36 2002</t>
        </is>
      </c>
      <c r="C95" t="inlineStr">
        <is>
          <t>0                      BV 1533000S  36          2002</t>
        </is>
      </c>
      <c r="D95" t="inlineStr">
        <is>
          <t>The scope of our art : the vocation of the theological teacher / edited by L. Gregory Jones and Stephanie Paulsell.</t>
        </is>
      </c>
      <c r="F95" t="inlineStr">
        <is>
          <t>No</t>
        </is>
      </c>
      <c r="G95" t="inlineStr">
        <is>
          <t>1</t>
        </is>
      </c>
      <c r="H95" t="inlineStr">
        <is>
          <t>No</t>
        </is>
      </c>
      <c r="I95" t="inlineStr">
        <is>
          <t>No</t>
        </is>
      </c>
      <c r="J95" t="inlineStr">
        <is>
          <t>0</t>
        </is>
      </c>
      <c r="L95" t="inlineStr">
        <is>
          <t>Grand Rapids, Mich. : Eerdmans, c2002.</t>
        </is>
      </c>
      <c r="M95" t="inlineStr">
        <is>
          <t>2002</t>
        </is>
      </c>
      <c r="O95" t="inlineStr">
        <is>
          <t>eng</t>
        </is>
      </c>
      <c r="P95" t="inlineStr">
        <is>
          <t>miu</t>
        </is>
      </c>
      <c r="R95" t="inlineStr">
        <is>
          <t xml:space="preserve">BV </t>
        </is>
      </c>
      <c r="S95" t="n">
        <v>4</v>
      </c>
      <c r="T95" t="n">
        <v>4</v>
      </c>
      <c r="U95" t="inlineStr">
        <is>
          <t>2007-02-26</t>
        </is>
      </c>
      <c r="V95" t="inlineStr">
        <is>
          <t>2007-02-26</t>
        </is>
      </c>
      <c r="W95" t="inlineStr">
        <is>
          <t>2004-01-22</t>
        </is>
      </c>
      <c r="X95" t="inlineStr">
        <is>
          <t>2004-01-22</t>
        </is>
      </c>
      <c r="Y95" t="n">
        <v>274</v>
      </c>
      <c r="Z95" t="n">
        <v>228</v>
      </c>
      <c r="AA95" t="n">
        <v>235</v>
      </c>
      <c r="AB95" t="n">
        <v>2</v>
      </c>
      <c r="AC95" t="n">
        <v>2</v>
      </c>
      <c r="AD95" t="n">
        <v>18</v>
      </c>
      <c r="AE95" t="n">
        <v>20</v>
      </c>
      <c r="AF95" t="n">
        <v>9</v>
      </c>
      <c r="AG95" t="n">
        <v>10</v>
      </c>
      <c r="AH95" t="n">
        <v>3</v>
      </c>
      <c r="AI95" t="n">
        <v>4</v>
      </c>
      <c r="AJ95" t="n">
        <v>11</v>
      </c>
      <c r="AK95" t="n">
        <v>12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HYPERLINK("https://creighton-primo.hosted.exlibrisgroup.com/primo-explore/search?tab=default_tab&amp;search_scope=EVERYTHING&amp;vid=01CRU&amp;lang=en_US&amp;offset=0&amp;query=any,contains,991004217539702656","Catalog Record")</f>
        <v/>
      </c>
      <c r="AT95">
        <f>HYPERLINK("http://www.worldcat.org/oclc/47625340","WorldCat Record")</f>
        <v/>
      </c>
      <c r="AU95" t="inlineStr">
        <is>
          <t>917723304:eng</t>
        </is>
      </c>
      <c r="AV95" t="inlineStr">
        <is>
          <t>47625340</t>
        </is>
      </c>
      <c r="AW95" t="inlineStr">
        <is>
          <t>991004217539702656</t>
        </is>
      </c>
      <c r="AX95" t="inlineStr">
        <is>
          <t>991004217539702656</t>
        </is>
      </c>
      <c r="AY95" t="inlineStr">
        <is>
          <t>2270071290002656</t>
        </is>
      </c>
      <c r="AZ95" t="inlineStr">
        <is>
          <t>BOOK</t>
        </is>
      </c>
      <c r="BB95" t="inlineStr">
        <is>
          <t>9780802849588</t>
        </is>
      </c>
      <c r="BC95" t="inlineStr">
        <is>
          <t>32285004636196</t>
        </is>
      </c>
      <c r="BD95" t="inlineStr">
        <is>
          <t>893506564</t>
        </is>
      </c>
    </row>
    <row r="96">
      <c r="A96" t="inlineStr">
        <is>
          <t>No</t>
        </is>
      </c>
      <c r="B96" t="inlineStr">
        <is>
          <t>BV1533.5 .E54 1998</t>
        </is>
      </c>
      <c r="C96" t="inlineStr">
        <is>
          <t>0                      BV 1533500E  54          1998</t>
        </is>
      </c>
      <c r="D96" t="inlineStr">
        <is>
          <t>Mentoring in religious education / Leona M. English.</t>
        </is>
      </c>
      <c r="F96" t="inlineStr">
        <is>
          <t>No</t>
        </is>
      </c>
      <c r="G96" t="inlineStr">
        <is>
          <t>1</t>
        </is>
      </c>
      <c r="H96" t="inlineStr">
        <is>
          <t>No</t>
        </is>
      </c>
      <c r="I96" t="inlineStr">
        <is>
          <t>No</t>
        </is>
      </c>
      <c r="J96" t="inlineStr">
        <is>
          <t>0</t>
        </is>
      </c>
      <c r="K96" t="inlineStr">
        <is>
          <t>English, Leona M., 1963-</t>
        </is>
      </c>
      <c r="L96" t="inlineStr">
        <is>
          <t>Birmingham, AL : Religious Education Press, 1998.</t>
        </is>
      </c>
      <c r="M96" t="inlineStr">
        <is>
          <t>1998</t>
        </is>
      </c>
      <c r="O96" t="inlineStr">
        <is>
          <t>eng</t>
        </is>
      </c>
      <c r="P96" t="inlineStr">
        <is>
          <t>alu</t>
        </is>
      </c>
      <c r="R96" t="inlineStr">
        <is>
          <t xml:space="preserve">BV </t>
        </is>
      </c>
      <c r="S96" t="n">
        <v>2</v>
      </c>
      <c r="T96" t="n">
        <v>2</v>
      </c>
      <c r="U96" t="inlineStr">
        <is>
          <t>2000-06-24</t>
        </is>
      </c>
      <c r="V96" t="inlineStr">
        <is>
          <t>2000-06-24</t>
        </is>
      </c>
      <c r="W96" t="inlineStr">
        <is>
          <t>1998-11-18</t>
        </is>
      </c>
      <c r="X96" t="inlineStr">
        <is>
          <t>1998-11-18</t>
        </is>
      </c>
      <c r="Y96" t="n">
        <v>253</v>
      </c>
      <c r="Z96" t="n">
        <v>216</v>
      </c>
      <c r="AA96" t="n">
        <v>222</v>
      </c>
      <c r="AB96" t="n">
        <v>3</v>
      </c>
      <c r="AC96" t="n">
        <v>3</v>
      </c>
      <c r="AD96" t="n">
        <v>17</v>
      </c>
      <c r="AE96" t="n">
        <v>17</v>
      </c>
      <c r="AF96" t="n">
        <v>7</v>
      </c>
      <c r="AG96" t="n">
        <v>7</v>
      </c>
      <c r="AH96" t="n">
        <v>3</v>
      </c>
      <c r="AI96" t="n">
        <v>3</v>
      </c>
      <c r="AJ96" t="n">
        <v>9</v>
      </c>
      <c r="AK96" t="n">
        <v>9</v>
      </c>
      <c r="AL96" t="n">
        <v>2</v>
      </c>
      <c r="AM96" t="n">
        <v>2</v>
      </c>
      <c r="AN96" t="n">
        <v>0</v>
      </c>
      <c r="AO96" t="n">
        <v>0</v>
      </c>
      <c r="AP96" t="inlineStr">
        <is>
          <t>No</t>
        </is>
      </c>
      <c r="AQ96" t="inlineStr">
        <is>
          <t>No</t>
        </is>
      </c>
      <c r="AS96">
        <f>HYPERLINK("https://creighton-primo.hosted.exlibrisgroup.com/primo-explore/search?tab=default_tab&amp;search_scope=EVERYTHING&amp;vid=01CRU&amp;lang=en_US&amp;offset=0&amp;query=any,contains,991002940119702656","Catalog Record")</f>
        <v/>
      </c>
      <c r="AT96">
        <f>HYPERLINK("http://www.worldcat.org/oclc/39122757","WorldCat Record")</f>
        <v/>
      </c>
      <c r="AU96" t="inlineStr">
        <is>
          <t>41999907:eng</t>
        </is>
      </c>
      <c r="AV96" t="inlineStr">
        <is>
          <t>39122757</t>
        </is>
      </c>
      <c r="AW96" t="inlineStr">
        <is>
          <t>991002940119702656</t>
        </is>
      </c>
      <c r="AX96" t="inlineStr">
        <is>
          <t>991002940119702656</t>
        </is>
      </c>
      <c r="AY96" t="inlineStr">
        <is>
          <t>2262386720002656</t>
        </is>
      </c>
      <c r="AZ96" t="inlineStr">
        <is>
          <t>BOOK</t>
        </is>
      </c>
      <c r="BB96" t="inlineStr">
        <is>
          <t>9780891351078</t>
        </is>
      </c>
      <c r="BC96" t="inlineStr">
        <is>
          <t>32285003490124</t>
        </is>
      </c>
      <c r="BD96" t="inlineStr">
        <is>
          <t>893692188</t>
        </is>
      </c>
    </row>
    <row r="97">
      <c r="A97" t="inlineStr">
        <is>
          <t>No</t>
        </is>
      </c>
      <c r="B97" t="inlineStr">
        <is>
          <t>BV1534 .E35</t>
        </is>
      </c>
      <c r="C97" t="inlineStr">
        <is>
          <t>0                      BV 1534000E  35</t>
        </is>
      </c>
      <c r="D97" t="inlineStr">
        <is>
          <t>Education for volunteer teachers : a report on the Project for the Advancement of Church Education, 1968-1970 / Locke E. Bowman, Jr., director.</t>
        </is>
      </c>
      <c r="F97" t="inlineStr">
        <is>
          <t>No</t>
        </is>
      </c>
      <c r="G97" t="inlineStr">
        <is>
          <t>1</t>
        </is>
      </c>
      <c r="H97" t="inlineStr">
        <is>
          <t>No</t>
        </is>
      </c>
      <c r="I97" t="inlineStr">
        <is>
          <t>No</t>
        </is>
      </c>
      <c r="J97" t="inlineStr">
        <is>
          <t>0</t>
        </is>
      </c>
      <c r="K97" t="inlineStr">
        <is>
          <t>Project for the Advancement of Church Education.</t>
        </is>
      </c>
      <c r="L97" t="inlineStr">
        <is>
          <t>Scottsdale, The Arizona Experiment; available from: National Teacher Education Project [1971]</t>
        </is>
      </c>
      <c r="M97" t="inlineStr">
        <is>
          <t>1971</t>
        </is>
      </c>
      <c r="O97" t="inlineStr">
        <is>
          <t>eng</t>
        </is>
      </c>
      <c r="P97" t="inlineStr">
        <is>
          <t>azu</t>
        </is>
      </c>
      <c r="R97" t="inlineStr">
        <is>
          <t xml:space="preserve">BV </t>
        </is>
      </c>
      <c r="S97" t="n">
        <v>2</v>
      </c>
      <c r="T97" t="n">
        <v>2</v>
      </c>
      <c r="U97" t="inlineStr">
        <is>
          <t>1994-10-12</t>
        </is>
      </c>
      <c r="V97" t="inlineStr">
        <is>
          <t>1994-10-12</t>
        </is>
      </c>
      <c r="W97" t="inlineStr">
        <is>
          <t>1992-04-30</t>
        </is>
      </c>
      <c r="X97" t="inlineStr">
        <is>
          <t>1992-04-30</t>
        </is>
      </c>
      <c r="Y97" t="n">
        <v>138</v>
      </c>
      <c r="Z97" t="n">
        <v>136</v>
      </c>
      <c r="AA97" t="n">
        <v>148</v>
      </c>
      <c r="AB97" t="n">
        <v>2</v>
      </c>
      <c r="AC97" t="n">
        <v>2</v>
      </c>
      <c r="AD97" t="n">
        <v>7</v>
      </c>
      <c r="AE97" t="n">
        <v>7</v>
      </c>
      <c r="AF97" t="n">
        <v>2</v>
      </c>
      <c r="AG97" t="n">
        <v>2</v>
      </c>
      <c r="AH97" t="n">
        <v>0</v>
      </c>
      <c r="AI97" t="n">
        <v>0</v>
      </c>
      <c r="AJ97" t="n">
        <v>4</v>
      </c>
      <c r="AK97" t="n">
        <v>4</v>
      </c>
      <c r="AL97" t="n">
        <v>1</v>
      </c>
      <c r="AM97" t="n">
        <v>1</v>
      </c>
      <c r="AN97" t="n">
        <v>0</v>
      </c>
      <c r="AO97" t="n">
        <v>0</v>
      </c>
      <c r="AP97" t="inlineStr">
        <is>
          <t>No</t>
        </is>
      </c>
      <c r="AQ97" t="inlineStr">
        <is>
          <t>Yes</t>
        </is>
      </c>
      <c r="AR97">
        <f>HYPERLINK("http://catalog.hathitrust.org/Record/001284257","HathiTrust Record")</f>
        <v/>
      </c>
      <c r="AS97">
        <f>HYPERLINK("https://creighton-primo.hosted.exlibrisgroup.com/primo-explore/search?tab=default_tab&amp;search_scope=EVERYTHING&amp;vid=01CRU&amp;lang=en_US&amp;offset=0&amp;query=any,contains,991002109829702656","Catalog Record")</f>
        <v/>
      </c>
      <c r="AT97">
        <f>HYPERLINK("http://www.worldcat.org/oclc/267066","WorldCat Record")</f>
        <v/>
      </c>
      <c r="AU97" t="inlineStr">
        <is>
          <t>1386974:eng</t>
        </is>
      </c>
      <c r="AV97" t="inlineStr">
        <is>
          <t>267066</t>
        </is>
      </c>
      <c r="AW97" t="inlineStr">
        <is>
          <t>991002109829702656</t>
        </is>
      </c>
      <c r="AX97" t="inlineStr">
        <is>
          <t>991002109829702656</t>
        </is>
      </c>
      <c r="AY97" t="inlineStr">
        <is>
          <t>2268930230002656</t>
        </is>
      </c>
      <c r="AZ97" t="inlineStr">
        <is>
          <t>BOOK</t>
        </is>
      </c>
      <c r="BC97" t="inlineStr">
        <is>
          <t>32285001090587</t>
        </is>
      </c>
      <c r="BD97" t="inlineStr">
        <is>
          <t>893516904</t>
        </is>
      </c>
    </row>
    <row r="98">
      <c r="A98" t="inlineStr">
        <is>
          <t>No</t>
        </is>
      </c>
      <c r="B98" t="inlineStr">
        <is>
          <t>BV1536 .M48</t>
        </is>
      </c>
      <c r="C98" t="inlineStr">
        <is>
          <t>0                      BV 1536000M  48</t>
        </is>
      </c>
      <c r="D98" t="inlineStr">
        <is>
          <t>Religious arts and crafts for children / by Elfrieda Miller.</t>
        </is>
      </c>
      <c r="F98" t="inlineStr">
        <is>
          <t>No</t>
        </is>
      </c>
      <c r="G98" t="inlineStr">
        <is>
          <t>1</t>
        </is>
      </c>
      <c r="H98" t="inlineStr">
        <is>
          <t>No</t>
        </is>
      </c>
      <c r="I98" t="inlineStr">
        <is>
          <t>No</t>
        </is>
      </c>
      <c r="J98" t="inlineStr">
        <is>
          <t>0</t>
        </is>
      </c>
      <c r="K98" t="inlineStr">
        <is>
          <t>Miller, Elfrieda, 1905-</t>
        </is>
      </c>
      <c r="L98" t="inlineStr">
        <is>
          <t>Saint Louis, Concordia Pub. House [1966]</t>
        </is>
      </c>
      <c r="M98" t="inlineStr">
        <is>
          <t>1966</t>
        </is>
      </c>
      <c r="O98" t="inlineStr">
        <is>
          <t>eng</t>
        </is>
      </c>
      <c r="P98" t="inlineStr">
        <is>
          <t>mou</t>
        </is>
      </c>
      <c r="R98" t="inlineStr">
        <is>
          <t xml:space="preserve">BV </t>
        </is>
      </c>
      <c r="S98" t="n">
        <v>4</v>
      </c>
      <c r="T98" t="n">
        <v>4</v>
      </c>
      <c r="U98" t="inlineStr">
        <is>
          <t>1994-09-16</t>
        </is>
      </c>
      <c r="V98" t="inlineStr">
        <is>
          <t>1994-09-16</t>
        </is>
      </c>
      <c r="W98" t="inlineStr">
        <is>
          <t>1992-02-03</t>
        </is>
      </c>
      <c r="X98" t="inlineStr">
        <is>
          <t>1992-02-03</t>
        </is>
      </c>
      <c r="Y98" t="n">
        <v>105</v>
      </c>
      <c r="Z98" t="n">
        <v>90</v>
      </c>
      <c r="AA98" t="n">
        <v>91</v>
      </c>
      <c r="AB98" t="n">
        <v>2</v>
      </c>
      <c r="AC98" t="n">
        <v>2</v>
      </c>
      <c r="AD98" t="n">
        <v>4</v>
      </c>
      <c r="AE98" t="n">
        <v>4</v>
      </c>
      <c r="AF98" t="n">
        <v>2</v>
      </c>
      <c r="AG98" t="n">
        <v>2</v>
      </c>
      <c r="AH98" t="n">
        <v>0</v>
      </c>
      <c r="AI98" t="n">
        <v>0</v>
      </c>
      <c r="AJ98" t="n">
        <v>1</v>
      </c>
      <c r="AK98" t="n">
        <v>1</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HYPERLINK("https://creighton-primo.hosted.exlibrisgroup.com/primo-explore/search?tab=default_tab&amp;search_scope=EVERYTHING&amp;vid=01CRU&amp;lang=en_US&amp;offset=0&amp;query=any,contains,991004339049702656","Catalog Record")</f>
        <v/>
      </c>
      <c r="AT98">
        <f>HYPERLINK("http://www.worldcat.org/oclc/3083280","WorldCat Record")</f>
        <v/>
      </c>
      <c r="AU98" t="inlineStr">
        <is>
          <t>2198826:eng</t>
        </is>
      </c>
      <c r="AV98" t="inlineStr">
        <is>
          <t>3083280</t>
        </is>
      </c>
      <c r="AW98" t="inlineStr">
        <is>
          <t>991004339049702656</t>
        </is>
      </c>
      <c r="AX98" t="inlineStr">
        <is>
          <t>991004339049702656</t>
        </is>
      </c>
      <c r="AY98" t="inlineStr">
        <is>
          <t>2267924310002656</t>
        </is>
      </c>
      <c r="AZ98" t="inlineStr">
        <is>
          <t>BOOK</t>
        </is>
      </c>
      <c r="BC98" t="inlineStr">
        <is>
          <t>32285000927110</t>
        </is>
      </c>
      <c r="BD98" t="inlineStr">
        <is>
          <t>893247462</t>
        </is>
      </c>
    </row>
    <row r="99">
      <c r="A99" t="inlineStr">
        <is>
          <t>No</t>
        </is>
      </c>
      <c r="B99" t="inlineStr">
        <is>
          <t>BV155 .D313 1964</t>
        </is>
      </c>
      <c r="C99" t="inlineStr">
        <is>
          <t>0                      BV 0155000D  313         1964</t>
        </is>
      </c>
      <c r="D99" t="inlineStr">
        <is>
          <t>Primitive Christian symbols / by Jean Daniélou. Translated by Donald Attwater.</t>
        </is>
      </c>
      <c r="F99" t="inlineStr">
        <is>
          <t>No</t>
        </is>
      </c>
      <c r="G99" t="inlineStr">
        <is>
          <t>1</t>
        </is>
      </c>
      <c r="H99" t="inlineStr">
        <is>
          <t>No</t>
        </is>
      </c>
      <c r="I99" t="inlineStr">
        <is>
          <t>No</t>
        </is>
      </c>
      <c r="J99" t="inlineStr">
        <is>
          <t>0</t>
        </is>
      </c>
      <c r="K99" t="inlineStr">
        <is>
          <t>Daniélou, Jean.</t>
        </is>
      </c>
      <c r="L99" t="inlineStr">
        <is>
          <t>Baltimore : Helicon Press, [1964]</t>
        </is>
      </c>
      <c r="M99" t="inlineStr">
        <is>
          <t>1964</t>
        </is>
      </c>
      <c r="O99" t="inlineStr">
        <is>
          <t>eng</t>
        </is>
      </c>
      <c r="P99" t="inlineStr">
        <is>
          <t>mdu</t>
        </is>
      </c>
      <c r="R99" t="inlineStr">
        <is>
          <t xml:space="preserve">BV </t>
        </is>
      </c>
      <c r="S99" t="n">
        <v>2</v>
      </c>
      <c r="T99" t="n">
        <v>2</v>
      </c>
      <c r="U99" t="inlineStr">
        <is>
          <t>1998-03-30</t>
        </is>
      </c>
      <c r="V99" t="inlineStr">
        <is>
          <t>1998-03-30</t>
        </is>
      </c>
      <c r="W99" t="inlineStr">
        <is>
          <t>1991-11-22</t>
        </is>
      </c>
      <c r="X99" t="inlineStr">
        <is>
          <t>1991-11-22</t>
        </is>
      </c>
      <c r="Y99" t="n">
        <v>484</v>
      </c>
      <c r="Z99" t="n">
        <v>439</v>
      </c>
      <c r="AA99" t="n">
        <v>476</v>
      </c>
      <c r="AB99" t="n">
        <v>4</v>
      </c>
      <c r="AC99" t="n">
        <v>4</v>
      </c>
      <c r="AD99" t="n">
        <v>43</v>
      </c>
      <c r="AE99" t="n">
        <v>43</v>
      </c>
      <c r="AF99" t="n">
        <v>16</v>
      </c>
      <c r="AG99" t="n">
        <v>16</v>
      </c>
      <c r="AH99" t="n">
        <v>10</v>
      </c>
      <c r="AI99" t="n">
        <v>10</v>
      </c>
      <c r="AJ99" t="n">
        <v>27</v>
      </c>
      <c r="AK99" t="n">
        <v>27</v>
      </c>
      <c r="AL99" t="n">
        <v>3</v>
      </c>
      <c r="AM99" t="n">
        <v>3</v>
      </c>
      <c r="AN99" t="n">
        <v>0</v>
      </c>
      <c r="AO99" t="n">
        <v>0</v>
      </c>
      <c r="AP99" t="inlineStr">
        <is>
          <t>No</t>
        </is>
      </c>
      <c r="AQ99" t="inlineStr">
        <is>
          <t>Yes</t>
        </is>
      </c>
      <c r="AR99">
        <f>HYPERLINK("http://catalog.hathitrust.org/Record/004508592","HathiTrust Record")</f>
        <v/>
      </c>
      <c r="AS99">
        <f>HYPERLINK("https://creighton-primo.hosted.exlibrisgroup.com/primo-explore/search?tab=default_tab&amp;search_scope=EVERYTHING&amp;vid=01CRU&amp;lang=en_US&amp;offset=0&amp;query=any,contains,991002662489702656","Catalog Record")</f>
        <v/>
      </c>
      <c r="AT99">
        <f>HYPERLINK("http://www.worldcat.org/oclc/391941","WorldCat Record")</f>
        <v/>
      </c>
      <c r="AU99" t="inlineStr">
        <is>
          <t>4757682552:eng</t>
        </is>
      </c>
      <c r="AV99" t="inlineStr">
        <is>
          <t>391941</t>
        </is>
      </c>
      <c r="AW99" t="inlineStr">
        <is>
          <t>991002662489702656</t>
        </is>
      </c>
      <c r="AX99" t="inlineStr">
        <is>
          <t>991002662489702656</t>
        </is>
      </c>
      <c r="AY99" t="inlineStr">
        <is>
          <t>2260686700002656</t>
        </is>
      </c>
      <c r="AZ99" t="inlineStr">
        <is>
          <t>BOOK</t>
        </is>
      </c>
      <c r="BC99" t="inlineStr">
        <is>
          <t>32285000835529</t>
        </is>
      </c>
      <c r="BD99" t="inlineStr">
        <is>
          <t>893691852</t>
        </is>
      </c>
    </row>
    <row r="100">
      <c r="A100" t="inlineStr">
        <is>
          <t>No</t>
        </is>
      </c>
      <c r="B100" t="inlineStr">
        <is>
          <t>BV155 .T44 1962</t>
        </is>
      </c>
      <c r="C100" t="inlineStr">
        <is>
          <t>0                      BV 0155000T  44          1962</t>
        </is>
      </c>
      <c r="D100" t="inlineStr">
        <is>
          <t>Il simbolismo dei giudeo-cristiani / [di] E. Testa.</t>
        </is>
      </c>
      <c r="F100" t="inlineStr">
        <is>
          <t>No</t>
        </is>
      </c>
      <c r="G100" t="inlineStr">
        <is>
          <t>1</t>
        </is>
      </c>
      <c r="H100" t="inlineStr">
        <is>
          <t>No</t>
        </is>
      </c>
      <c r="I100" t="inlineStr">
        <is>
          <t>No</t>
        </is>
      </c>
      <c r="J100" t="inlineStr">
        <is>
          <t>0</t>
        </is>
      </c>
      <c r="K100" t="inlineStr">
        <is>
          <t>Testa, Emmanuele.</t>
        </is>
      </c>
      <c r="L100" t="inlineStr">
        <is>
          <t>Gerusalemme : Tip. dei PP. francescani, 1962.</t>
        </is>
      </c>
      <c r="M100" t="inlineStr">
        <is>
          <t>1962</t>
        </is>
      </c>
      <c r="O100" t="inlineStr">
        <is>
          <t>ita</t>
        </is>
      </c>
      <c r="P100" t="inlineStr">
        <is>
          <t xml:space="preserve">xx </t>
        </is>
      </c>
      <c r="Q100" t="inlineStr">
        <is>
          <t>Pubblicazione dello Studium Biblicum Franciscanum, n.14</t>
        </is>
      </c>
      <c r="R100" t="inlineStr">
        <is>
          <t xml:space="preserve">BV </t>
        </is>
      </c>
      <c r="S100" t="n">
        <v>7</v>
      </c>
      <c r="T100" t="n">
        <v>7</v>
      </c>
      <c r="U100" t="inlineStr">
        <is>
          <t>2009-06-01</t>
        </is>
      </c>
      <c r="V100" t="inlineStr">
        <is>
          <t>2009-06-01</t>
        </is>
      </c>
      <c r="W100" t="inlineStr">
        <is>
          <t>1991-11-22</t>
        </is>
      </c>
      <c r="X100" t="inlineStr">
        <is>
          <t>1991-11-22</t>
        </is>
      </c>
      <c r="Y100" t="n">
        <v>85</v>
      </c>
      <c r="Z100" t="n">
        <v>57</v>
      </c>
      <c r="AA100" t="n">
        <v>59</v>
      </c>
      <c r="AB100" t="n">
        <v>1</v>
      </c>
      <c r="AC100" t="n">
        <v>1</v>
      </c>
      <c r="AD100" t="n">
        <v>7</v>
      </c>
      <c r="AE100" t="n">
        <v>7</v>
      </c>
      <c r="AF100" t="n">
        <v>0</v>
      </c>
      <c r="AG100" t="n">
        <v>0</v>
      </c>
      <c r="AH100" t="n">
        <v>4</v>
      </c>
      <c r="AI100" t="n">
        <v>4</v>
      </c>
      <c r="AJ100" t="n">
        <v>4</v>
      </c>
      <c r="AK100" t="n">
        <v>4</v>
      </c>
      <c r="AL100" t="n">
        <v>0</v>
      </c>
      <c r="AM100" t="n">
        <v>0</v>
      </c>
      <c r="AN100" t="n">
        <v>0</v>
      </c>
      <c r="AO100" t="n">
        <v>0</v>
      </c>
      <c r="AP100" t="inlineStr">
        <is>
          <t>No</t>
        </is>
      </c>
      <c r="AQ100" t="inlineStr">
        <is>
          <t>Yes</t>
        </is>
      </c>
      <c r="AR100">
        <f>HYPERLINK("http://catalog.hathitrust.org/Record/001413083","HathiTrust Record")</f>
        <v/>
      </c>
      <c r="AS100">
        <f>HYPERLINK("https://creighton-primo.hosted.exlibrisgroup.com/primo-explore/search?tab=default_tab&amp;search_scope=EVERYTHING&amp;vid=01CRU&amp;lang=en_US&amp;offset=0&amp;query=any,contains,991003631809702656","Catalog Record")</f>
        <v/>
      </c>
      <c r="AT100">
        <f>HYPERLINK("http://www.worldcat.org/oclc/1225463","WorldCat Record")</f>
        <v/>
      </c>
      <c r="AU100" t="inlineStr">
        <is>
          <t>350669537:ita</t>
        </is>
      </c>
      <c r="AV100" t="inlineStr">
        <is>
          <t>1225463</t>
        </is>
      </c>
      <c r="AW100" t="inlineStr">
        <is>
          <t>991003631809702656</t>
        </is>
      </c>
      <c r="AX100" t="inlineStr">
        <is>
          <t>991003631809702656</t>
        </is>
      </c>
      <c r="AY100" t="inlineStr">
        <is>
          <t>2262560940002656</t>
        </is>
      </c>
      <c r="AZ100" t="inlineStr">
        <is>
          <t>BOOK</t>
        </is>
      </c>
      <c r="BC100" t="inlineStr">
        <is>
          <t>32285004973482</t>
        </is>
      </c>
      <c r="BD100" t="inlineStr">
        <is>
          <t>893330593</t>
        </is>
      </c>
    </row>
    <row r="101">
      <c r="A101" t="inlineStr">
        <is>
          <t>No</t>
        </is>
      </c>
      <c r="B101" t="inlineStr">
        <is>
          <t>BV1579 .W45 1988</t>
        </is>
      </c>
      <c r="C101" t="inlineStr">
        <is>
          <t>0                      BV 1579000W  45          1988</t>
        </is>
      </c>
      <c r="D101" t="inlineStr">
        <is>
          <t>Intergenerational religious education : models, theory, and prescription for interage life and learning in the faith community / James W. White.</t>
        </is>
      </c>
      <c r="F101" t="inlineStr">
        <is>
          <t>No</t>
        </is>
      </c>
      <c r="G101" t="inlineStr">
        <is>
          <t>1</t>
        </is>
      </c>
      <c r="H101" t="inlineStr">
        <is>
          <t>No</t>
        </is>
      </c>
      <c r="I101" t="inlineStr">
        <is>
          <t>No</t>
        </is>
      </c>
      <c r="J101" t="inlineStr">
        <is>
          <t>0</t>
        </is>
      </c>
      <c r="K101" t="inlineStr">
        <is>
          <t>White, James W.</t>
        </is>
      </c>
      <c r="L101" t="inlineStr">
        <is>
          <t>Birmingham, Ala. : Religious Education Press, 1988.</t>
        </is>
      </c>
      <c r="M101" t="inlineStr">
        <is>
          <t>1988</t>
        </is>
      </c>
      <c r="O101" t="inlineStr">
        <is>
          <t>eng</t>
        </is>
      </c>
      <c r="P101" t="inlineStr">
        <is>
          <t>alu</t>
        </is>
      </c>
      <c r="R101" t="inlineStr">
        <is>
          <t xml:space="preserve">BV </t>
        </is>
      </c>
      <c r="S101" t="n">
        <v>2</v>
      </c>
      <c r="T101" t="n">
        <v>2</v>
      </c>
      <c r="U101" t="inlineStr">
        <is>
          <t>1996-04-10</t>
        </is>
      </c>
      <c r="V101" t="inlineStr">
        <is>
          <t>1996-04-10</t>
        </is>
      </c>
      <c r="W101" t="inlineStr">
        <is>
          <t>1992-02-03</t>
        </is>
      </c>
      <c r="X101" t="inlineStr">
        <is>
          <t>1992-02-03</t>
        </is>
      </c>
      <c r="Y101" t="n">
        <v>353</v>
      </c>
      <c r="Z101" t="n">
        <v>285</v>
      </c>
      <c r="AA101" t="n">
        <v>286</v>
      </c>
      <c r="AB101" t="n">
        <v>4</v>
      </c>
      <c r="AC101" t="n">
        <v>4</v>
      </c>
      <c r="AD101" t="n">
        <v>18</v>
      </c>
      <c r="AE101" t="n">
        <v>18</v>
      </c>
      <c r="AF101" t="n">
        <v>6</v>
      </c>
      <c r="AG101" t="n">
        <v>6</v>
      </c>
      <c r="AH101" t="n">
        <v>4</v>
      </c>
      <c r="AI101" t="n">
        <v>4</v>
      </c>
      <c r="AJ101" t="n">
        <v>10</v>
      </c>
      <c r="AK101" t="n">
        <v>10</v>
      </c>
      <c r="AL101" t="n">
        <v>2</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HYPERLINK("https://creighton-primo.hosted.exlibrisgroup.com/primo-explore/search?tab=default_tab&amp;search_scope=EVERYTHING&amp;vid=01CRU&amp;lang=en_US&amp;offset=0&amp;query=any,contains,991001329719702656","Catalog Record")</f>
        <v/>
      </c>
      <c r="AT101">
        <f>HYPERLINK("http://www.worldcat.org/oclc/18321224","WorldCat Record")</f>
        <v/>
      </c>
      <c r="AU101" t="inlineStr">
        <is>
          <t>17543839:eng</t>
        </is>
      </c>
      <c r="AV101" t="inlineStr">
        <is>
          <t>18321224</t>
        </is>
      </c>
      <c r="AW101" t="inlineStr">
        <is>
          <t>991001329719702656</t>
        </is>
      </c>
      <c r="AX101" t="inlineStr">
        <is>
          <t>991001329719702656</t>
        </is>
      </c>
      <c r="AY101" t="inlineStr">
        <is>
          <t>2256833070002656</t>
        </is>
      </c>
      <c r="AZ101" t="inlineStr">
        <is>
          <t>BOOK</t>
        </is>
      </c>
      <c r="BB101" t="inlineStr">
        <is>
          <t>9780891350675</t>
        </is>
      </c>
      <c r="BC101" t="inlineStr">
        <is>
          <t>32285000927169</t>
        </is>
      </c>
      <c r="BD101" t="inlineStr">
        <is>
          <t>893426521</t>
        </is>
      </c>
    </row>
    <row r="102">
      <c r="A102" t="inlineStr">
        <is>
          <t>No</t>
        </is>
      </c>
      <c r="B102" t="inlineStr">
        <is>
          <t>BV1590 .H37 1995</t>
        </is>
      </c>
      <c r="C102" t="inlineStr">
        <is>
          <t>0                      BV 1590000H  37          1995</t>
        </is>
      </c>
      <c r="D102" t="inlineStr">
        <is>
          <t>Handbook of family religious education / edited by Blake J. Neff and Donald Ratcliff.</t>
        </is>
      </c>
      <c r="F102" t="inlineStr">
        <is>
          <t>No</t>
        </is>
      </c>
      <c r="G102" t="inlineStr">
        <is>
          <t>1</t>
        </is>
      </c>
      <c r="H102" t="inlineStr">
        <is>
          <t>No</t>
        </is>
      </c>
      <c r="I102" t="inlineStr">
        <is>
          <t>No</t>
        </is>
      </c>
      <c r="J102" t="inlineStr">
        <is>
          <t>0</t>
        </is>
      </c>
      <c r="L102" t="inlineStr">
        <is>
          <t>Birmingham, Ala : Religious Education Press, 1995.</t>
        </is>
      </c>
      <c r="M102" t="inlineStr">
        <is>
          <t>1995</t>
        </is>
      </c>
      <c r="O102" t="inlineStr">
        <is>
          <t>eng</t>
        </is>
      </c>
      <c r="P102" t="inlineStr">
        <is>
          <t>alu</t>
        </is>
      </c>
      <c r="R102" t="inlineStr">
        <is>
          <t xml:space="preserve">BV </t>
        </is>
      </c>
      <c r="S102" t="n">
        <v>1</v>
      </c>
      <c r="T102" t="n">
        <v>1</v>
      </c>
      <c r="U102" t="inlineStr">
        <is>
          <t>1998-05-21</t>
        </is>
      </c>
      <c r="V102" t="inlineStr">
        <is>
          <t>1998-05-21</t>
        </is>
      </c>
      <c r="W102" t="inlineStr">
        <is>
          <t>1995-12-27</t>
        </is>
      </c>
      <c r="X102" t="inlineStr">
        <is>
          <t>1995-12-27</t>
        </is>
      </c>
      <c r="Y102" t="n">
        <v>255</v>
      </c>
      <c r="Z102" t="n">
        <v>225</v>
      </c>
      <c r="AA102" t="n">
        <v>225</v>
      </c>
      <c r="AB102" t="n">
        <v>4</v>
      </c>
      <c r="AC102" t="n">
        <v>4</v>
      </c>
      <c r="AD102" t="n">
        <v>20</v>
      </c>
      <c r="AE102" t="n">
        <v>20</v>
      </c>
      <c r="AF102" t="n">
        <v>8</v>
      </c>
      <c r="AG102" t="n">
        <v>8</v>
      </c>
      <c r="AH102" t="n">
        <v>3</v>
      </c>
      <c r="AI102" t="n">
        <v>3</v>
      </c>
      <c r="AJ102" t="n">
        <v>11</v>
      </c>
      <c r="AK102" t="n">
        <v>11</v>
      </c>
      <c r="AL102" t="n">
        <v>3</v>
      </c>
      <c r="AM102" t="n">
        <v>3</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HYPERLINK("https://creighton-primo.hosted.exlibrisgroup.com/primo-explore/search?tab=default_tab&amp;search_scope=EVERYTHING&amp;vid=01CRU&amp;lang=en_US&amp;offset=0&amp;query=any,contains,991002558499702656","Catalog Record")</f>
        <v/>
      </c>
      <c r="AT102">
        <f>HYPERLINK("http://www.worldcat.org/oclc/33245401","WorldCat Record")</f>
        <v/>
      </c>
      <c r="AU102" t="inlineStr">
        <is>
          <t>349943118:eng</t>
        </is>
      </c>
      <c r="AV102" t="inlineStr">
        <is>
          <t>33245401</t>
        </is>
      </c>
      <c r="AW102" t="inlineStr">
        <is>
          <t>991002558499702656</t>
        </is>
      </c>
      <c r="AX102" t="inlineStr">
        <is>
          <t>991002558499702656</t>
        </is>
      </c>
      <c r="AY102" t="inlineStr">
        <is>
          <t>2257053600002656</t>
        </is>
      </c>
      <c r="AZ102" t="inlineStr">
        <is>
          <t>BOOK</t>
        </is>
      </c>
      <c r="BB102" t="inlineStr">
        <is>
          <t>9780891350958</t>
        </is>
      </c>
      <c r="BC102" t="inlineStr">
        <is>
          <t>32285002112158</t>
        </is>
      </c>
      <c r="BD102" t="inlineStr">
        <is>
          <t>893609988</t>
        </is>
      </c>
    </row>
    <row r="103">
      <c r="A103" t="inlineStr">
        <is>
          <t>No</t>
        </is>
      </c>
      <c r="B103" t="inlineStr">
        <is>
          <t>BV1590 .N4 1954</t>
        </is>
      </c>
      <c r="C103" t="inlineStr">
        <is>
          <t>0                      BV 1590000N  4           1954</t>
        </is>
      </c>
      <c r="D103" t="inlineStr">
        <is>
          <t>We and our children : molding the child in Christian living.</t>
        </is>
      </c>
      <c r="F103" t="inlineStr">
        <is>
          <t>No</t>
        </is>
      </c>
      <c r="G103" t="inlineStr">
        <is>
          <t>1</t>
        </is>
      </c>
      <c r="H103" t="inlineStr">
        <is>
          <t>No</t>
        </is>
      </c>
      <c r="I103" t="inlineStr">
        <is>
          <t>No</t>
        </is>
      </c>
      <c r="J103" t="inlineStr">
        <is>
          <t>0</t>
        </is>
      </c>
      <c r="K103" t="inlineStr">
        <is>
          <t>Newland, Mary Reed.</t>
        </is>
      </c>
      <c r="L103" t="inlineStr">
        <is>
          <t>New York : Kenedy, [1954]</t>
        </is>
      </c>
      <c r="M103" t="inlineStr">
        <is>
          <t>1954</t>
        </is>
      </c>
      <c r="O103" t="inlineStr">
        <is>
          <t>eng</t>
        </is>
      </c>
      <c r="P103" t="inlineStr">
        <is>
          <t xml:space="preserve">xx </t>
        </is>
      </c>
      <c r="R103" t="inlineStr">
        <is>
          <t xml:space="preserve">BV </t>
        </is>
      </c>
      <c r="S103" t="n">
        <v>1</v>
      </c>
      <c r="T103" t="n">
        <v>1</v>
      </c>
      <c r="U103" t="inlineStr">
        <is>
          <t>1992-04-09</t>
        </is>
      </c>
      <c r="V103" t="inlineStr">
        <is>
          <t>1992-04-09</t>
        </is>
      </c>
      <c r="W103" t="inlineStr">
        <is>
          <t>1992-02-03</t>
        </is>
      </c>
      <c r="X103" t="inlineStr">
        <is>
          <t>1992-02-03</t>
        </is>
      </c>
      <c r="Y103" t="n">
        <v>143</v>
      </c>
      <c r="Z103" t="n">
        <v>133</v>
      </c>
      <c r="AA103" t="n">
        <v>151</v>
      </c>
      <c r="AB103" t="n">
        <v>3</v>
      </c>
      <c r="AC103" t="n">
        <v>3</v>
      </c>
      <c r="AD103" t="n">
        <v>18</v>
      </c>
      <c r="AE103" t="n">
        <v>18</v>
      </c>
      <c r="AF103" t="n">
        <v>5</v>
      </c>
      <c r="AG103" t="n">
        <v>5</v>
      </c>
      <c r="AH103" t="n">
        <v>5</v>
      </c>
      <c r="AI103" t="n">
        <v>5</v>
      </c>
      <c r="AJ103" t="n">
        <v>12</v>
      </c>
      <c r="AK103" t="n">
        <v>12</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HYPERLINK("https://creighton-primo.hosted.exlibrisgroup.com/primo-explore/search?tab=default_tab&amp;search_scope=EVERYTHING&amp;vid=01CRU&amp;lang=en_US&amp;offset=0&amp;query=any,contains,991003777489702656","Catalog Record")</f>
        <v/>
      </c>
      <c r="AT103">
        <f>HYPERLINK("http://www.worldcat.org/oclc/1487371","WorldCat Record")</f>
        <v/>
      </c>
      <c r="AU103" t="inlineStr">
        <is>
          <t>2393522:eng</t>
        </is>
      </c>
      <c r="AV103" t="inlineStr">
        <is>
          <t>1487371</t>
        </is>
      </c>
      <c r="AW103" t="inlineStr">
        <is>
          <t>991003777489702656</t>
        </is>
      </c>
      <c r="AX103" t="inlineStr">
        <is>
          <t>991003777489702656</t>
        </is>
      </c>
      <c r="AY103" t="inlineStr">
        <is>
          <t>2259164440002656</t>
        </is>
      </c>
      <c r="AZ103" t="inlineStr">
        <is>
          <t>BOOK</t>
        </is>
      </c>
      <c r="BC103" t="inlineStr">
        <is>
          <t>32285000927219</t>
        </is>
      </c>
      <c r="BD103" t="inlineStr">
        <is>
          <t>893499695</t>
        </is>
      </c>
    </row>
    <row r="104">
      <c r="A104" t="inlineStr">
        <is>
          <t>No</t>
        </is>
      </c>
      <c r="B104" t="inlineStr">
        <is>
          <t>BV1590 .R313 1959</t>
        </is>
      </c>
      <c r="C104" t="inlineStr">
        <is>
          <t>0                      BV 1590000R  313         1959</t>
        </is>
      </c>
      <c r="D104" t="inlineStr">
        <is>
          <t>Together toward God : religious training in the family / by P. Ranwez, J. and M.-L. Defossa and J. Gérard-Libois. Translated by Paul Barrett.</t>
        </is>
      </c>
      <c r="F104" t="inlineStr">
        <is>
          <t>No</t>
        </is>
      </c>
      <c r="G104" t="inlineStr">
        <is>
          <t>1</t>
        </is>
      </c>
      <c r="H104" t="inlineStr">
        <is>
          <t>No</t>
        </is>
      </c>
      <c r="I104" t="inlineStr">
        <is>
          <t>No</t>
        </is>
      </c>
      <c r="J104" t="inlineStr">
        <is>
          <t>0</t>
        </is>
      </c>
      <c r="K104" t="inlineStr">
        <is>
          <t>Ranwez, Pierre.</t>
        </is>
      </c>
      <c r="L104" t="inlineStr">
        <is>
          <t>Westminster, Md. : Newman Press, 1959.</t>
        </is>
      </c>
      <c r="M104" t="inlineStr">
        <is>
          <t>1959</t>
        </is>
      </c>
      <c r="O104" t="inlineStr">
        <is>
          <t>eng</t>
        </is>
      </c>
      <c r="P104" t="inlineStr">
        <is>
          <t>mdu</t>
        </is>
      </c>
      <c r="R104" t="inlineStr">
        <is>
          <t xml:space="preserve">BV </t>
        </is>
      </c>
      <c r="S104" t="n">
        <v>2</v>
      </c>
      <c r="T104" t="n">
        <v>2</v>
      </c>
      <c r="U104" t="inlineStr">
        <is>
          <t>1997-06-26</t>
        </is>
      </c>
      <c r="V104" t="inlineStr">
        <is>
          <t>1997-06-26</t>
        </is>
      </c>
      <c r="W104" t="inlineStr">
        <is>
          <t>1992-02-03</t>
        </is>
      </c>
      <c r="X104" t="inlineStr">
        <is>
          <t>1992-02-03</t>
        </is>
      </c>
      <c r="Y104" t="n">
        <v>75</v>
      </c>
      <c r="Z104" t="n">
        <v>66</v>
      </c>
      <c r="AA104" t="n">
        <v>66</v>
      </c>
      <c r="AB104" t="n">
        <v>2</v>
      </c>
      <c r="AC104" t="n">
        <v>2</v>
      </c>
      <c r="AD104" t="n">
        <v>17</v>
      </c>
      <c r="AE104" t="n">
        <v>17</v>
      </c>
      <c r="AF104" t="n">
        <v>3</v>
      </c>
      <c r="AG104" t="n">
        <v>3</v>
      </c>
      <c r="AH104" t="n">
        <v>4</v>
      </c>
      <c r="AI104" t="n">
        <v>4</v>
      </c>
      <c r="AJ104" t="n">
        <v>15</v>
      </c>
      <c r="AK104" t="n">
        <v>15</v>
      </c>
      <c r="AL104" t="n">
        <v>0</v>
      </c>
      <c r="AM104" t="n">
        <v>0</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HYPERLINK("https://creighton-primo.hosted.exlibrisgroup.com/primo-explore/search?tab=default_tab&amp;search_scope=EVERYTHING&amp;vid=01CRU&amp;lang=en_US&amp;offset=0&amp;query=any,contains,991004213889702656","Catalog Record")</f>
        <v/>
      </c>
      <c r="AT104">
        <f>HYPERLINK("http://www.worldcat.org/oclc/2692691","WorldCat Record")</f>
        <v/>
      </c>
      <c r="AU104" t="inlineStr">
        <is>
          <t>5936938:eng</t>
        </is>
      </c>
      <c r="AV104" t="inlineStr">
        <is>
          <t>2692691</t>
        </is>
      </c>
      <c r="AW104" t="inlineStr">
        <is>
          <t>991004213889702656</t>
        </is>
      </c>
      <c r="AX104" t="inlineStr">
        <is>
          <t>991004213889702656</t>
        </is>
      </c>
      <c r="AY104" t="inlineStr">
        <is>
          <t>2265970030002656</t>
        </is>
      </c>
      <c r="AZ104" t="inlineStr">
        <is>
          <t>BOOK</t>
        </is>
      </c>
      <c r="BC104" t="inlineStr">
        <is>
          <t>32285000927235</t>
        </is>
      </c>
      <c r="BD104" t="inlineStr">
        <is>
          <t>893442349</t>
        </is>
      </c>
    </row>
    <row r="105">
      <c r="A105" t="inlineStr">
        <is>
          <t>No</t>
        </is>
      </c>
      <c r="B105" t="inlineStr">
        <is>
          <t>BV1610 .H33</t>
        </is>
      </c>
      <c r="C105" t="inlineStr">
        <is>
          <t>0                      BV 1610000H  33</t>
        </is>
      </c>
      <c r="D105" t="inlineStr">
        <is>
          <t>Theology and the church in the university / by Julian N. Hartt.</t>
        </is>
      </c>
      <c r="F105" t="inlineStr">
        <is>
          <t>No</t>
        </is>
      </c>
      <c r="G105" t="inlineStr">
        <is>
          <t>1</t>
        </is>
      </c>
      <c r="H105" t="inlineStr">
        <is>
          <t>No</t>
        </is>
      </c>
      <c r="I105" t="inlineStr">
        <is>
          <t>No</t>
        </is>
      </c>
      <c r="J105" t="inlineStr">
        <is>
          <t>0</t>
        </is>
      </c>
      <c r="K105" t="inlineStr">
        <is>
          <t>Hartt, Julian Norris.</t>
        </is>
      </c>
      <c r="L105" t="inlineStr">
        <is>
          <t>Philadelphia, Westminster Press [1969]</t>
        </is>
      </c>
      <c r="M105" t="inlineStr">
        <is>
          <t>1969</t>
        </is>
      </c>
      <c r="O105" t="inlineStr">
        <is>
          <t>eng</t>
        </is>
      </c>
      <c r="P105" t="inlineStr">
        <is>
          <t>pau</t>
        </is>
      </c>
      <c r="R105" t="inlineStr">
        <is>
          <t xml:space="preserve">BV </t>
        </is>
      </c>
      <c r="S105" t="n">
        <v>2</v>
      </c>
      <c r="T105" t="n">
        <v>2</v>
      </c>
      <c r="U105" t="inlineStr">
        <is>
          <t>1997-03-07</t>
        </is>
      </c>
      <c r="V105" t="inlineStr">
        <is>
          <t>1997-03-07</t>
        </is>
      </c>
      <c r="W105" t="inlineStr">
        <is>
          <t>1992-02-03</t>
        </is>
      </c>
      <c r="X105" t="inlineStr">
        <is>
          <t>1992-02-03</t>
        </is>
      </c>
      <c r="Y105" t="n">
        <v>372</v>
      </c>
      <c r="Z105" t="n">
        <v>349</v>
      </c>
      <c r="AA105" t="n">
        <v>355</v>
      </c>
      <c r="AB105" t="n">
        <v>5</v>
      </c>
      <c r="AC105" t="n">
        <v>5</v>
      </c>
      <c r="AD105" t="n">
        <v>26</v>
      </c>
      <c r="AE105" t="n">
        <v>26</v>
      </c>
      <c r="AF105" t="n">
        <v>7</v>
      </c>
      <c r="AG105" t="n">
        <v>7</v>
      </c>
      <c r="AH105" t="n">
        <v>8</v>
      </c>
      <c r="AI105" t="n">
        <v>8</v>
      </c>
      <c r="AJ105" t="n">
        <v>15</v>
      </c>
      <c r="AK105" t="n">
        <v>15</v>
      </c>
      <c r="AL105" t="n">
        <v>4</v>
      </c>
      <c r="AM105" t="n">
        <v>4</v>
      </c>
      <c r="AN105" t="n">
        <v>0</v>
      </c>
      <c r="AO105" t="n">
        <v>0</v>
      </c>
      <c r="AP105" t="inlineStr">
        <is>
          <t>No</t>
        </is>
      </c>
      <c r="AQ105" t="inlineStr">
        <is>
          <t>Yes</t>
        </is>
      </c>
      <c r="AR105">
        <f>HYPERLINK("http://catalog.hathitrust.org/Record/009906985","HathiTrust Record")</f>
        <v/>
      </c>
      <c r="AS105">
        <f>HYPERLINK("https://creighton-primo.hosted.exlibrisgroup.com/primo-explore/search?tab=default_tab&amp;search_scope=EVERYTHING&amp;vid=01CRU&amp;lang=en_US&amp;offset=0&amp;query=any,contains,991005437079702656","Catalog Record")</f>
        <v/>
      </c>
      <c r="AT105">
        <f>HYPERLINK("http://www.worldcat.org/oclc/4980","WorldCat Record")</f>
        <v/>
      </c>
      <c r="AU105" t="inlineStr">
        <is>
          <t>1128414:eng</t>
        </is>
      </c>
      <c r="AV105" t="inlineStr">
        <is>
          <t>4980</t>
        </is>
      </c>
      <c r="AW105" t="inlineStr">
        <is>
          <t>991005437079702656</t>
        </is>
      </c>
      <c r="AX105" t="inlineStr">
        <is>
          <t>991005437079702656</t>
        </is>
      </c>
      <c r="AY105" t="inlineStr">
        <is>
          <t>2266345340002656</t>
        </is>
      </c>
      <c r="AZ105" t="inlineStr">
        <is>
          <t>BOOK</t>
        </is>
      </c>
      <c r="BB105" t="inlineStr">
        <is>
          <t>9780664248451</t>
        </is>
      </c>
      <c r="BC105" t="inlineStr">
        <is>
          <t>32285000927276</t>
        </is>
      </c>
      <c r="BD105" t="inlineStr">
        <is>
          <t>893902725</t>
        </is>
      </c>
    </row>
    <row r="106">
      <c r="A106" t="inlineStr">
        <is>
          <t>No</t>
        </is>
      </c>
      <c r="B106" t="inlineStr">
        <is>
          <t>BV1610 .W28</t>
        </is>
      </c>
      <c r="C106" t="inlineStr">
        <is>
          <t>0                      BV 1610000W  28</t>
        </is>
      </c>
      <c r="D106" t="inlineStr">
        <is>
          <t>Religion and the State university / edited by Erich A. Walter.</t>
        </is>
      </c>
      <c r="F106" t="inlineStr">
        <is>
          <t>No</t>
        </is>
      </c>
      <c r="G106" t="inlineStr">
        <is>
          <t>1</t>
        </is>
      </c>
      <c r="H106" t="inlineStr">
        <is>
          <t>Yes</t>
        </is>
      </c>
      <c r="I106" t="inlineStr">
        <is>
          <t>No</t>
        </is>
      </c>
      <c r="J106" t="inlineStr">
        <is>
          <t>0</t>
        </is>
      </c>
      <c r="K106" t="inlineStr">
        <is>
          <t>Walter, Erich A. (Erich Albert), editor.</t>
        </is>
      </c>
      <c r="L106" t="inlineStr">
        <is>
          <t>Ann Arbor, University of Michigan Press [1958]</t>
        </is>
      </c>
      <c r="M106" t="inlineStr">
        <is>
          <t>1958</t>
        </is>
      </c>
      <c r="O106" t="inlineStr">
        <is>
          <t>eng</t>
        </is>
      </c>
      <c r="P106" t="inlineStr">
        <is>
          <t>miu</t>
        </is>
      </c>
      <c r="R106" t="inlineStr">
        <is>
          <t xml:space="preserve">BV </t>
        </is>
      </c>
      <c r="S106" t="n">
        <v>2</v>
      </c>
      <c r="T106" t="n">
        <v>4</v>
      </c>
      <c r="U106" t="inlineStr">
        <is>
          <t>1995-05-01</t>
        </is>
      </c>
      <c r="V106" t="inlineStr">
        <is>
          <t>2006-09-27</t>
        </is>
      </c>
      <c r="W106" t="inlineStr">
        <is>
          <t>1992-02-03</t>
        </is>
      </c>
      <c r="X106" t="inlineStr">
        <is>
          <t>1992-02-03</t>
        </is>
      </c>
      <c r="Y106" t="n">
        <v>677</v>
      </c>
      <c r="Z106" t="n">
        <v>640</v>
      </c>
      <c r="AA106" t="n">
        <v>642</v>
      </c>
      <c r="AB106" t="n">
        <v>7</v>
      </c>
      <c r="AC106" t="n">
        <v>7</v>
      </c>
      <c r="AD106" t="n">
        <v>39</v>
      </c>
      <c r="AE106" t="n">
        <v>39</v>
      </c>
      <c r="AF106" t="n">
        <v>11</v>
      </c>
      <c r="AG106" t="n">
        <v>11</v>
      </c>
      <c r="AH106" t="n">
        <v>7</v>
      </c>
      <c r="AI106" t="n">
        <v>7</v>
      </c>
      <c r="AJ106" t="n">
        <v>23</v>
      </c>
      <c r="AK106" t="n">
        <v>23</v>
      </c>
      <c r="AL106" t="n">
        <v>4</v>
      </c>
      <c r="AM106" t="n">
        <v>4</v>
      </c>
      <c r="AN106" t="n">
        <v>4</v>
      </c>
      <c r="AO106" t="n">
        <v>4</v>
      </c>
      <c r="AP106" t="inlineStr">
        <is>
          <t>No</t>
        </is>
      </c>
      <c r="AQ106" t="inlineStr">
        <is>
          <t>Yes</t>
        </is>
      </c>
      <c r="AR106">
        <f>HYPERLINK("http://catalog.hathitrust.org/Record/001449785","HathiTrust Record")</f>
        <v/>
      </c>
      <c r="AS106">
        <f>HYPERLINK("https://creighton-primo.hosted.exlibrisgroup.com/primo-explore/search?tab=default_tab&amp;search_scope=EVERYTHING&amp;vid=01CRU&amp;lang=en_US&amp;offset=0&amp;query=any,contains,991002650909702656","Catalog Record")</f>
        <v/>
      </c>
      <c r="AT106">
        <f>HYPERLINK("http://www.worldcat.org/oclc/387133","WorldCat Record")</f>
        <v/>
      </c>
      <c r="AU106" t="inlineStr">
        <is>
          <t>5218432466:eng</t>
        </is>
      </c>
      <c r="AV106" t="inlineStr">
        <is>
          <t>387133</t>
        </is>
      </c>
      <c r="AW106" t="inlineStr">
        <is>
          <t>991002650909702656</t>
        </is>
      </c>
      <c r="AX106" t="inlineStr">
        <is>
          <t>991002650909702656</t>
        </is>
      </c>
      <c r="AY106" t="inlineStr">
        <is>
          <t>2258226260002656</t>
        </is>
      </c>
      <c r="AZ106" t="inlineStr">
        <is>
          <t>BOOK</t>
        </is>
      </c>
      <c r="BC106" t="inlineStr">
        <is>
          <t>32285000927524</t>
        </is>
      </c>
      <c r="BD106" t="inlineStr">
        <is>
          <t>893251468</t>
        </is>
      </c>
    </row>
    <row r="107">
      <c r="A107" t="inlineStr">
        <is>
          <t>No</t>
        </is>
      </c>
      <c r="B107" t="inlineStr">
        <is>
          <t>BV1610 .W28</t>
        </is>
      </c>
      <c r="C107" t="inlineStr">
        <is>
          <t>0                      BV 1610000W  28</t>
        </is>
      </c>
      <c r="D107" t="inlineStr">
        <is>
          <t>Religion and the State university / edited by Erich A. Walter.</t>
        </is>
      </c>
      <c r="F107" t="inlineStr">
        <is>
          <t>No</t>
        </is>
      </c>
      <c r="G107" t="inlineStr">
        <is>
          <t>1</t>
        </is>
      </c>
      <c r="H107" t="inlineStr">
        <is>
          <t>Yes</t>
        </is>
      </c>
      <c r="I107" t="inlineStr">
        <is>
          <t>No</t>
        </is>
      </c>
      <c r="J107" t="inlineStr">
        <is>
          <t>0</t>
        </is>
      </c>
      <c r="K107" t="inlineStr">
        <is>
          <t>Walter, Erich A. (Erich Albert), editor.</t>
        </is>
      </c>
      <c r="L107" t="inlineStr">
        <is>
          <t>Ann Arbor, University of Michigan Press [1958]</t>
        </is>
      </c>
      <c r="M107" t="inlineStr">
        <is>
          <t>1958</t>
        </is>
      </c>
      <c r="O107" t="inlineStr">
        <is>
          <t>eng</t>
        </is>
      </c>
      <c r="P107" t="inlineStr">
        <is>
          <t>miu</t>
        </is>
      </c>
      <c r="R107" t="inlineStr">
        <is>
          <t xml:space="preserve">BV </t>
        </is>
      </c>
      <c r="S107" t="n">
        <v>2</v>
      </c>
      <c r="T107" t="n">
        <v>4</v>
      </c>
      <c r="U107" t="inlineStr">
        <is>
          <t>2006-09-27</t>
        </is>
      </c>
      <c r="V107" t="inlineStr">
        <is>
          <t>2006-09-27</t>
        </is>
      </c>
      <c r="W107" t="inlineStr">
        <is>
          <t>1992-02-03</t>
        </is>
      </c>
      <c r="X107" t="inlineStr">
        <is>
          <t>1992-02-03</t>
        </is>
      </c>
      <c r="Y107" t="n">
        <v>677</v>
      </c>
      <c r="Z107" t="n">
        <v>640</v>
      </c>
      <c r="AA107" t="n">
        <v>642</v>
      </c>
      <c r="AB107" t="n">
        <v>7</v>
      </c>
      <c r="AC107" t="n">
        <v>7</v>
      </c>
      <c r="AD107" t="n">
        <v>39</v>
      </c>
      <c r="AE107" t="n">
        <v>39</v>
      </c>
      <c r="AF107" t="n">
        <v>11</v>
      </c>
      <c r="AG107" t="n">
        <v>11</v>
      </c>
      <c r="AH107" t="n">
        <v>7</v>
      </c>
      <c r="AI107" t="n">
        <v>7</v>
      </c>
      <c r="AJ107" t="n">
        <v>23</v>
      </c>
      <c r="AK107" t="n">
        <v>23</v>
      </c>
      <c r="AL107" t="n">
        <v>4</v>
      </c>
      <c r="AM107" t="n">
        <v>4</v>
      </c>
      <c r="AN107" t="n">
        <v>4</v>
      </c>
      <c r="AO107" t="n">
        <v>4</v>
      </c>
      <c r="AP107" t="inlineStr">
        <is>
          <t>No</t>
        </is>
      </c>
      <c r="AQ107" t="inlineStr">
        <is>
          <t>Yes</t>
        </is>
      </c>
      <c r="AR107">
        <f>HYPERLINK("http://catalog.hathitrust.org/Record/001449785","HathiTrust Record")</f>
        <v/>
      </c>
      <c r="AS107">
        <f>HYPERLINK("https://creighton-primo.hosted.exlibrisgroup.com/primo-explore/search?tab=default_tab&amp;search_scope=EVERYTHING&amp;vid=01CRU&amp;lang=en_US&amp;offset=0&amp;query=any,contains,991002650909702656","Catalog Record")</f>
        <v/>
      </c>
      <c r="AT107">
        <f>HYPERLINK("http://www.worldcat.org/oclc/387133","WorldCat Record")</f>
        <v/>
      </c>
      <c r="AU107" t="inlineStr">
        <is>
          <t>5218432466:eng</t>
        </is>
      </c>
      <c r="AV107" t="inlineStr">
        <is>
          <t>387133</t>
        </is>
      </c>
      <c r="AW107" t="inlineStr">
        <is>
          <t>991002650909702656</t>
        </is>
      </c>
      <c r="AX107" t="inlineStr">
        <is>
          <t>991002650909702656</t>
        </is>
      </c>
      <c r="AY107" t="inlineStr">
        <is>
          <t>2258226260002656</t>
        </is>
      </c>
      <c r="AZ107" t="inlineStr">
        <is>
          <t>BOOK</t>
        </is>
      </c>
      <c r="BC107" t="inlineStr">
        <is>
          <t>32285000927318</t>
        </is>
      </c>
      <c r="BD107" t="inlineStr">
        <is>
          <t>893251469</t>
        </is>
      </c>
    </row>
    <row r="108">
      <c r="A108" t="inlineStr">
        <is>
          <t>No</t>
        </is>
      </c>
      <c r="B108" t="inlineStr">
        <is>
          <t>BV1650 .V38 1998</t>
        </is>
      </c>
      <c r="C108" t="inlineStr">
        <is>
          <t>0                      BV 1650000V  38          1998</t>
        </is>
      </c>
      <c r="D108" t="inlineStr">
        <is>
          <t>How to use camping experiences in religious education : transformation through Christian camping / by Stephen F. Venable and Donald M. Joy.</t>
        </is>
      </c>
      <c r="F108" t="inlineStr">
        <is>
          <t>No</t>
        </is>
      </c>
      <c r="G108" t="inlineStr">
        <is>
          <t>1</t>
        </is>
      </c>
      <c r="H108" t="inlineStr">
        <is>
          <t>No</t>
        </is>
      </c>
      <c r="I108" t="inlineStr">
        <is>
          <t>No</t>
        </is>
      </c>
      <c r="J108" t="inlineStr">
        <is>
          <t>0</t>
        </is>
      </c>
      <c r="K108" t="inlineStr">
        <is>
          <t>Venable, Stephen F., 1960-</t>
        </is>
      </c>
      <c r="L108" t="inlineStr">
        <is>
          <t>Birmingham, Ala. : Religious Education Press, 1998.</t>
        </is>
      </c>
      <c r="M108" t="inlineStr">
        <is>
          <t>1998</t>
        </is>
      </c>
      <c r="O108" t="inlineStr">
        <is>
          <t>eng</t>
        </is>
      </c>
      <c r="P108" t="inlineStr">
        <is>
          <t>alu</t>
        </is>
      </c>
      <c r="Q108" t="inlineStr">
        <is>
          <t>A kenosis book</t>
        </is>
      </c>
      <c r="R108" t="inlineStr">
        <is>
          <t xml:space="preserve">BV </t>
        </is>
      </c>
      <c r="S108" t="n">
        <v>1</v>
      </c>
      <c r="T108" t="n">
        <v>1</v>
      </c>
      <c r="U108" t="inlineStr">
        <is>
          <t>1998-12-07</t>
        </is>
      </c>
      <c r="V108" t="inlineStr">
        <is>
          <t>1998-12-07</t>
        </is>
      </c>
      <c r="W108" t="inlineStr">
        <is>
          <t>1998-06-09</t>
        </is>
      </c>
      <c r="X108" t="inlineStr">
        <is>
          <t>1998-06-09</t>
        </is>
      </c>
      <c r="Y108" t="n">
        <v>223</v>
      </c>
      <c r="Z108" t="n">
        <v>201</v>
      </c>
      <c r="AA108" t="n">
        <v>201</v>
      </c>
      <c r="AB108" t="n">
        <v>4</v>
      </c>
      <c r="AC108" t="n">
        <v>4</v>
      </c>
      <c r="AD108" t="n">
        <v>17</v>
      </c>
      <c r="AE108" t="n">
        <v>17</v>
      </c>
      <c r="AF108" t="n">
        <v>7</v>
      </c>
      <c r="AG108" t="n">
        <v>7</v>
      </c>
      <c r="AH108" t="n">
        <v>3</v>
      </c>
      <c r="AI108" t="n">
        <v>3</v>
      </c>
      <c r="AJ108" t="n">
        <v>8</v>
      </c>
      <c r="AK108" t="n">
        <v>8</v>
      </c>
      <c r="AL108" t="n">
        <v>3</v>
      </c>
      <c r="AM108" t="n">
        <v>3</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HYPERLINK("https://creighton-primo.hosted.exlibrisgroup.com/primo-explore/search?tab=default_tab&amp;search_scope=EVERYTHING&amp;vid=01CRU&amp;lang=en_US&amp;offset=0&amp;query=any,contains,991002916929702656","Catalog Record")</f>
        <v/>
      </c>
      <c r="AT108">
        <f>HYPERLINK("http://www.worldcat.org/oclc/38566603","WorldCat Record")</f>
        <v/>
      </c>
      <c r="AU108" t="inlineStr">
        <is>
          <t>41763052:eng</t>
        </is>
      </c>
      <c r="AV108" t="inlineStr">
        <is>
          <t>38566603</t>
        </is>
      </c>
      <c r="AW108" t="inlineStr">
        <is>
          <t>991002916929702656</t>
        </is>
      </c>
      <c r="AX108" t="inlineStr">
        <is>
          <t>991002916929702656</t>
        </is>
      </c>
      <c r="AY108" t="inlineStr">
        <is>
          <t>2263063690002656</t>
        </is>
      </c>
      <c r="AZ108" t="inlineStr">
        <is>
          <t>BOOK</t>
        </is>
      </c>
      <c r="BB108" t="inlineStr">
        <is>
          <t>9780891351047</t>
        </is>
      </c>
      <c r="BC108" t="inlineStr">
        <is>
          <t>32285003413951</t>
        </is>
      </c>
      <c r="BD108" t="inlineStr">
        <is>
          <t>893517922</t>
        </is>
      </c>
    </row>
    <row r="109">
      <c r="A109" t="inlineStr">
        <is>
          <t>No</t>
        </is>
      </c>
      <c r="B109" t="inlineStr">
        <is>
          <t>BV168.C4 P5</t>
        </is>
      </c>
      <c r="C109" t="inlineStr">
        <is>
          <t>0                      BV 0168000C  4                  P  5</t>
        </is>
      </c>
      <c r="D109" t="inlineStr">
        <is>
          <t>The riddle of the 'Labarum' and the origin of Christian symbols / [by] George Pitt-Rivers.</t>
        </is>
      </c>
      <c r="F109" t="inlineStr">
        <is>
          <t>No</t>
        </is>
      </c>
      <c r="G109" t="inlineStr">
        <is>
          <t>1</t>
        </is>
      </c>
      <c r="H109" t="inlineStr">
        <is>
          <t>No</t>
        </is>
      </c>
      <c r="I109" t="inlineStr">
        <is>
          <t>No</t>
        </is>
      </c>
      <c r="J109" t="inlineStr">
        <is>
          <t>0</t>
        </is>
      </c>
      <c r="K109" t="inlineStr">
        <is>
          <t>Pitt-Rivers, George Henry Lane Fox, 1890-1966.</t>
        </is>
      </c>
      <c r="L109" t="inlineStr">
        <is>
          <t>London, Allen &amp; Unwin, 1966.</t>
        </is>
      </c>
      <c r="M109" t="inlineStr">
        <is>
          <t>1966</t>
        </is>
      </c>
      <c r="O109" t="inlineStr">
        <is>
          <t>eng</t>
        </is>
      </c>
      <c r="P109" t="inlineStr">
        <is>
          <t>enk</t>
        </is>
      </c>
      <c r="R109" t="inlineStr">
        <is>
          <t xml:space="preserve">BV </t>
        </is>
      </c>
      <c r="S109" t="n">
        <v>2</v>
      </c>
      <c r="T109" t="n">
        <v>2</v>
      </c>
      <c r="U109" t="inlineStr">
        <is>
          <t>1994-03-29</t>
        </is>
      </c>
      <c r="V109" t="inlineStr">
        <is>
          <t>1994-03-29</t>
        </is>
      </c>
      <c r="W109" t="inlineStr">
        <is>
          <t>1991-11-22</t>
        </is>
      </c>
      <c r="X109" t="inlineStr">
        <is>
          <t>1991-11-22</t>
        </is>
      </c>
      <c r="Y109" t="n">
        <v>245</v>
      </c>
      <c r="Z109" t="n">
        <v>187</v>
      </c>
      <c r="AA109" t="n">
        <v>196</v>
      </c>
      <c r="AB109" t="n">
        <v>3</v>
      </c>
      <c r="AC109" t="n">
        <v>3</v>
      </c>
      <c r="AD109" t="n">
        <v>15</v>
      </c>
      <c r="AE109" t="n">
        <v>16</v>
      </c>
      <c r="AF109" t="n">
        <v>5</v>
      </c>
      <c r="AG109" t="n">
        <v>5</v>
      </c>
      <c r="AH109" t="n">
        <v>3</v>
      </c>
      <c r="AI109" t="n">
        <v>3</v>
      </c>
      <c r="AJ109" t="n">
        <v>8</v>
      </c>
      <c r="AK109" t="n">
        <v>9</v>
      </c>
      <c r="AL109" t="n">
        <v>2</v>
      </c>
      <c r="AM109" t="n">
        <v>2</v>
      </c>
      <c r="AN109" t="n">
        <v>0</v>
      </c>
      <c r="AO109" t="n">
        <v>0</v>
      </c>
      <c r="AP109" t="inlineStr">
        <is>
          <t>No</t>
        </is>
      </c>
      <c r="AQ109" t="inlineStr">
        <is>
          <t>Yes</t>
        </is>
      </c>
      <c r="AR109">
        <f>HYPERLINK("http://catalog.hathitrust.org/Record/001413094","HathiTrust Record")</f>
        <v/>
      </c>
      <c r="AS109">
        <f>HYPERLINK("https://creighton-primo.hosted.exlibrisgroup.com/primo-explore/search?tab=default_tab&amp;search_scope=EVERYTHING&amp;vid=01CRU&amp;lang=en_US&amp;offset=0&amp;query=any,contains,991003234029702656","Catalog Record")</f>
        <v/>
      </c>
      <c r="AT109">
        <f>HYPERLINK("http://www.worldcat.org/oclc/758379","WorldCat Record")</f>
        <v/>
      </c>
      <c r="AU109" t="inlineStr">
        <is>
          <t>1625293:eng</t>
        </is>
      </c>
      <c r="AV109" t="inlineStr">
        <is>
          <t>758379</t>
        </is>
      </c>
      <c r="AW109" t="inlineStr">
        <is>
          <t>991003234029702656</t>
        </is>
      </c>
      <c r="AX109" t="inlineStr">
        <is>
          <t>991003234029702656</t>
        </is>
      </c>
      <c r="AY109" t="inlineStr">
        <is>
          <t>2271967100002656</t>
        </is>
      </c>
      <c r="AZ109" t="inlineStr">
        <is>
          <t>BOOK</t>
        </is>
      </c>
      <c r="BC109" t="inlineStr">
        <is>
          <t>32285000835545</t>
        </is>
      </c>
      <c r="BD109" t="inlineStr">
        <is>
          <t>893342367</t>
        </is>
      </c>
    </row>
    <row r="110">
      <c r="A110" t="inlineStr">
        <is>
          <t>No</t>
        </is>
      </c>
      <c r="B110" t="inlineStr">
        <is>
          <t>BV169.5 .S45 1973</t>
        </is>
      </c>
      <c r="C110" t="inlineStr">
        <is>
          <t>0                      BV 0169500S  45          1973</t>
        </is>
      </c>
      <c r="D110" t="inlineStr">
        <is>
          <t>Liturgie et rémission des péchés : Conférences Saint-Serge, XXe Semaine d'études liturgiques : Paris, 2-5 juillet 1973.</t>
        </is>
      </c>
      <c r="F110" t="inlineStr">
        <is>
          <t>No</t>
        </is>
      </c>
      <c r="G110" t="inlineStr">
        <is>
          <t>1</t>
        </is>
      </c>
      <c r="H110" t="inlineStr">
        <is>
          <t>No</t>
        </is>
      </c>
      <c r="I110" t="inlineStr">
        <is>
          <t>No</t>
        </is>
      </c>
      <c r="J110" t="inlineStr">
        <is>
          <t>0</t>
        </is>
      </c>
      <c r="K110" t="inlineStr">
        <is>
          <t>Semaine d'études liturgiques (20th : 1973 : Paris, France)</t>
        </is>
      </c>
      <c r="L110" t="inlineStr">
        <is>
          <t>Roma : Edizioni liturgiche, 1975.</t>
        </is>
      </c>
      <c r="M110" t="inlineStr">
        <is>
          <t>1975</t>
        </is>
      </c>
      <c r="O110" t="inlineStr">
        <is>
          <t>fre</t>
        </is>
      </c>
      <c r="P110" t="inlineStr">
        <is>
          <t xml:space="preserve">it </t>
        </is>
      </c>
      <c r="Q110" t="inlineStr">
        <is>
          <t>Bibliotheca "Ephemerides liturgicae." Subsidia ; 3</t>
        </is>
      </c>
      <c r="R110" t="inlineStr">
        <is>
          <t xml:space="preserve">BV </t>
        </is>
      </c>
      <c r="S110" t="n">
        <v>1</v>
      </c>
      <c r="T110" t="n">
        <v>1</v>
      </c>
      <c r="U110" t="inlineStr">
        <is>
          <t>1994-01-20</t>
        </is>
      </c>
      <c r="V110" t="inlineStr">
        <is>
          <t>1994-01-20</t>
        </is>
      </c>
      <c r="W110" t="inlineStr">
        <is>
          <t>1991-11-22</t>
        </is>
      </c>
      <c r="X110" t="inlineStr">
        <is>
          <t>1991-11-22</t>
        </is>
      </c>
      <c r="Y110" t="n">
        <v>58</v>
      </c>
      <c r="Z110" t="n">
        <v>45</v>
      </c>
      <c r="AA110" t="n">
        <v>46</v>
      </c>
      <c r="AB110" t="n">
        <v>1</v>
      </c>
      <c r="AC110" t="n">
        <v>1</v>
      </c>
      <c r="AD110" t="n">
        <v>5</v>
      </c>
      <c r="AE110" t="n">
        <v>5</v>
      </c>
      <c r="AF110" t="n">
        <v>0</v>
      </c>
      <c r="AG110" t="n">
        <v>0</v>
      </c>
      <c r="AH110" t="n">
        <v>3</v>
      </c>
      <c r="AI110" t="n">
        <v>3</v>
      </c>
      <c r="AJ110" t="n">
        <v>3</v>
      </c>
      <c r="AK110" t="n">
        <v>3</v>
      </c>
      <c r="AL110" t="n">
        <v>0</v>
      </c>
      <c r="AM110" t="n">
        <v>0</v>
      </c>
      <c r="AN110" t="n">
        <v>0</v>
      </c>
      <c r="AO110" t="n">
        <v>0</v>
      </c>
      <c r="AP110" t="inlineStr">
        <is>
          <t>No</t>
        </is>
      </c>
      <c r="AQ110" t="inlineStr">
        <is>
          <t>Yes</t>
        </is>
      </c>
      <c r="AR110">
        <f>HYPERLINK("http://catalog.hathitrust.org/Record/010396583","HathiTrust Record")</f>
        <v/>
      </c>
      <c r="AS110">
        <f>HYPERLINK("https://creighton-primo.hosted.exlibrisgroup.com/primo-explore/search?tab=default_tab&amp;search_scope=EVERYTHING&amp;vid=01CRU&amp;lang=en_US&amp;offset=0&amp;query=any,contains,991004638509702656","Catalog Record")</f>
        <v/>
      </c>
      <c r="AT110">
        <f>HYPERLINK("http://www.worldcat.org/oclc/4439592","WorldCat Record")</f>
        <v/>
      </c>
      <c r="AU110" t="inlineStr">
        <is>
          <t>3769860446:fre</t>
        </is>
      </c>
      <c r="AV110" t="inlineStr">
        <is>
          <t>4439592</t>
        </is>
      </c>
      <c r="AW110" t="inlineStr">
        <is>
          <t>991004638509702656</t>
        </is>
      </c>
      <c r="AX110" t="inlineStr">
        <is>
          <t>991004638509702656</t>
        </is>
      </c>
      <c r="AY110" t="inlineStr">
        <is>
          <t>2265660340002656</t>
        </is>
      </c>
      <c r="AZ110" t="inlineStr">
        <is>
          <t>BOOK</t>
        </is>
      </c>
      <c r="BC110" t="inlineStr">
        <is>
          <t>32285000835560</t>
        </is>
      </c>
      <c r="BD110" t="inlineStr">
        <is>
          <t>893507079</t>
        </is>
      </c>
    </row>
    <row r="111">
      <c r="A111" t="inlineStr">
        <is>
          <t>No</t>
        </is>
      </c>
      <c r="B111" t="inlineStr">
        <is>
          <t>BV169.5 .S45 1977</t>
        </is>
      </c>
      <c r="C111" t="inlineStr">
        <is>
          <t>0                      BV 0169500S  45          1977</t>
        </is>
      </c>
      <c r="D111" t="inlineStr">
        <is>
          <t>Gestes et paroles dans les diverses familles liturgiques : Conférences Saint-Serge, XXIVe Semaine d'études liturgiques, Paris, 28 juin-1er juillet 1977.</t>
        </is>
      </c>
      <c r="F111" t="inlineStr">
        <is>
          <t>No</t>
        </is>
      </c>
      <c r="G111" t="inlineStr">
        <is>
          <t>1</t>
        </is>
      </c>
      <c r="H111" t="inlineStr">
        <is>
          <t>No</t>
        </is>
      </c>
      <c r="I111" t="inlineStr">
        <is>
          <t>No</t>
        </is>
      </c>
      <c r="J111" t="inlineStr">
        <is>
          <t>0</t>
        </is>
      </c>
      <c r="K111" t="inlineStr">
        <is>
          <t>Semaine d'études liturgiques (24th : 1977 : Paris, France)</t>
        </is>
      </c>
      <c r="L111" t="inlineStr">
        <is>
          <t>Roma : Centro liturgico vincenziano, 1978.</t>
        </is>
      </c>
      <c r="M111" t="inlineStr">
        <is>
          <t>1978</t>
        </is>
      </c>
      <c r="O111" t="inlineStr">
        <is>
          <t>fre</t>
        </is>
      </c>
      <c r="P111" t="inlineStr">
        <is>
          <t xml:space="preserve">it </t>
        </is>
      </c>
      <c r="Q111" t="inlineStr">
        <is>
          <t>Bibliotheca "Ephemerides liturgicae." Subsidia ; 14</t>
        </is>
      </c>
      <c r="R111" t="inlineStr">
        <is>
          <t xml:space="preserve">BV </t>
        </is>
      </c>
      <c r="S111" t="n">
        <v>0</v>
      </c>
      <c r="T111" t="n">
        <v>0</v>
      </c>
      <c r="U111" t="inlineStr">
        <is>
          <t>2010-02-19</t>
        </is>
      </c>
      <c r="V111" t="inlineStr">
        <is>
          <t>2010-02-19</t>
        </is>
      </c>
      <c r="W111" t="inlineStr">
        <is>
          <t>1991-11-22</t>
        </is>
      </c>
      <c r="X111" t="inlineStr">
        <is>
          <t>1991-11-22</t>
        </is>
      </c>
      <c r="Y111" t="n">
        <v>52</v>
      </c>
      <c r="Z111" t="n">
        <v>40</v>
      </c>
      <c r="AA111" t="n">
        <v>41</v>
      </c>
      <c r="AB111" t="n">
        <v>1</v>
      </c>
      <c r="AC111" t="n">
        <v>1</v>
      </c>
      <c r="AD111" t="n">
        <v>4</v>
      </c>
      <c r="AE111" t="n">
        <v>4</v>
      </c>
      <c r="AF111" t="n">
        <v>0</v>
      </c>
      <c r="AG111" t="n">
        <v>0</v>
      </c>
      <c r="AH111" t="n">
        <v>2</v>
      </c>
      <c r="AI111" t="n">
        <v>2</v>
      </c>
      <c r="AJ111" t="n">
        <v>3</v>
      </c>
      <c r="AK111" t="n">
        <v>3</v>
      </c>
      <c r="AL111" t="n">
        <v>0</v>
      </c>
      <c r="AM111" t="n">
        <v>0</v>
      </c>
      <c r="AN111" t="n">
        <v>0</v>
      </c>
      <c r="AO111" t="n">
        <v>0</v>
      </c>
      <c r="AP111" t="inlineStr">
        <is>
          <t>No</t>
        </is>
      </c>
      <c r="AQ111" t="inlineStr">
        <is>
          <t>Yes</t>
        </is>
      </c>
      <c r="AR111">
        <f>HYPERLINK("http://catalog.hathitrust.org/Record/003329179","HathiTrust Record")</f>
        <v/>
      </c>
      <c r="AS111">
        <f>HYPERLINK("https://creighton-primo.hosted.exlibrisgroup.com/primo-explore/search?tab=default_tab&amp;search_scope=EVERYTHING&amp;vid=01CRU&amp;lang=en_US&amp;offset=0&amp;query=any,contains,991005008099702656","Catalog Record")</f>
        <v/>
      </c>
      <c r="AT111">
        <f>HYPERLINK("http://www.worldcat.org/oclc/6581231","WorldCat Record")</f>
        <v/>
      </c>
      <c r="AU111" t="inlineStr">
        <is>
          <t>8910778739:fre</t>
        </is>
      </c>
      <c r="AV111" t="inlineStr">
        <is>
          <t>6581231</t>
        </is>
      </c>
      <c r="AW111" t="inlineStr">
        <is>
          <t>991005008099702656</t>
        </is>
      </c>
      <c r="AX111" t="inlineStr">
        <is>
          <t>991005008099702656</t>
        </is>
      </c>
      <c r="AY111" t="inlineStr">
        <is>
          <t>2258179620002656</t>
        </is>
      </c>
      <c r="AZ111" t="inlineStr">
        <is>
          <t>BOOK</t>
        </is>
      </c>
      <c r="BC111" t="inlineStr">
        <is>
          <t>32285000835594</t>
        </is>
      </c>
      <c r="BD111" t="inlineStr">
        <is>
          <t>893319882</t>
        </is>
      </c>
    </row>
    <row r="112">
      <c r="A112" t="inlineStr">
        <is>
          <t>No</t>
        </is>
      </c>
      <c r="B112" t="inlineStr">
        <is>
          <t>BV169.5 .S45 1983</t>
        </is>
      </c>
      <c r="C112" t="inlineStr">
        <is>
          <t>0                      BV 0169500S  45          1983</t>
        </is>
      </c>
      <c r="D112" t="inlineStr">
        <is>
          <t>Trinité et liturgie : Conférences Saint-Serge, XXXe Semaine d'études liturgiques, Paris, 28 juin-1er juillet 1983 / éditées par A.M. Triacca et A. Pistoia ; [textes de] Andronikof C. ... [et al.].</t>
        </is>
      </c>
      <c r="F112" t="inlineStr">
        <is>
          <t>No</t>
        </is>
      </c>
      <c r="G112" t="inlineStr">
        <is>
          <t>1</t>
        </is>
      </c>
      <c r="H112" t="inlineStr">
        <is>
          <t>No</t>
        </is>
      </c>
      <c r="I112" t="inlineStr">
        <is>
          <t>No</t>
        </is>
      </c>
      <c r="J112" t="inlineStr">
        <is>
          <t>0</t>
        </is>
      </c>
      <c r="K112" t="inlineStr">
        <is>
          <t>Semaine d'études liturgiques (30th : 1983 : Paris, France)</t>
        </is>
      </c>
      <c r="L112" t="inlineStr">
        <is>
          <t>Roma : C.L.V.-Edizioni liturgiche, 1984.</t>
        </is>
      </c>
      <c r="M112" t="inlineStr">
        <is>
          <t>1984</t>
        </is>
      </c>
      <c r="O112" t="inlineStr">
        <is>
          <t>fre</t>
        </is>
      </c>
      <c r="P112" t="inlineStr">
        <is>
          <t xml:space="preserve">it </t>
        </is>
      </c>
      <c r="Q112" t="inlineStr">
        <is>
          <t>Bibliotheca "Ephemerides liturgicae." Subsidia ; 32</t>
        </is>
      </c>
      <c r="R112" t="inlineStr">
        <is>
          <t xml:space="preserve">BV </t>
        </is>
      </c>
      <c r="S112" t="n">
        <v>1</v>
      </c>
      <c r="T112" t="n">
        <v>1</v>
      </c>
      <c r="U112" t="inlineStr">
        <is>
          <t>2007-06-04</t>
        </is>
      </c>
      <c r="V112" t="inlineStr">
        <is>
          <t>2007-06-04</t>
        </is>
      </c>
      <c r="W112" t="inlineStr">
        <is>
          <t>1992-04-28</t>
        </is>
      </c>
      <c r="X112" t="inlineStr">
        <is>
          <t>1992-04-28</t>
        </is>
      </c>
      <c r="Y112" t="n">
        <v>39</v>
      </c>
      <c r="Z112" t="n">
        <v>23</v>
      </c>
      <c r="AA112" t="n">
        <v>28</v>
      </c>
      <c r="AB112" t="n">
        <v>1</v>
      </c>
      <c r="AC112" t="n">
        <v>1</v>
      </c>
      <c r="AD112" t="n">
        <v>1</v>
      </c>
      <c r="AE112" t="n">
        <v>2</v>
      </c>
      <c r="AF112" t="n">
        <v>0</v>
      </c>
      <c r="AG112" t="n">
        <v>0</v>
      </c>
      <c r="AH112" t="n">
        <v>1</v>
      </c>
      <c r="AI112" t="n">
        <v>1</v>
      </c>
      <c r="AJ112" t="n">
        <v>1</v>
      </c>
      <c r="AK112" t="n">
        <v>2</v>
      </c>
      <c r="AL112" t="n">
        <v>0</v>
      </c>
      <c r="AM112" t="n">
        <v>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HYPERLINK("https://creighton-primo.hosted.exlibrisgroup.com/primo-explore/search?tab=default_tab&amp;search_scope=EVERYTHING&amp;vid=01CRU&amp;lang=en_US&amp;offset=0&amp;query=any,contains,991000780209702656","Catalog Record")</f>
        <v/>
      </c>
      <c r="AT112">
        <f>HYPERLINK("http://www.worldcat.org/oclc/13095143","WorldCat Record")</f>
        <v/>
      </c>
      <c r="AU112" t="inlineStr">
        <is>
          <t>473181668:fre</t>
        </is>
      </c>
      <c r="AV112" t="inlineStr">
        <is>
          <t>13095143</t>
        </is>
      </c>
      <c r="AW112" t="inlineStr">
        <is>
          <t>991000780209702656</t>
        </is>
      </c>
      <c r="AX112" t="inlineStr">
        <is>
          <t>991000780209702656</t>
        </is>
      </c>
      <c r="AY112" t="inlineStr">
        <is>
          <t>2255659690002656</t>
        </is>
      </c>
      <c r="AZ112" t="inlineStr">
        <is>
          <t>BOOK</t>
        </is>
      </c>
      <c r="BC112" t="inlineStr">
        <is>
          <t>32285000835644</t>
        </is>
      </c>
      <c r="BD112" t="inlineStr">
        <is>
          <t>893771956</t>
        </is>
      </c>
    </row>
    <row r="113">
      <c r="A113" t="inlineStr">
        <is>
          <t>No</t>
        </is>
      </c>
      <c r="B113" t="inlineStr">
        <is>
          <t>BV175 .J3 1973</t>
        </is>
      </c>
      <c r="C113" t="inlineStr">
        <is>
          <t>0                      BV 0175000J  3           1973</t>
        </is>
      </c>
      <c r="D113" t="inlineStr">
        <is>
          <t>Christian myth and ritual : a historical study / by E. O. James.</t>
        </is>
      </c>
      <c r="F113" t="inlineStr">
        <is>
          <t>No</t>
        </is>
      </c>
      <c r="G113" t="inlineStr">
        <is>
          <t>1</t>
        </is>
      </c>
      <c r="H113" t="inlineStr">
        <is>
          <t>No</t>
        </is>
      </c>
      <c r="I113" t="inlineStr">
        <is>
          <t>No</t>
        </is>
      </c>
      <c r="J113" t="inlineStr">
        <is>
          <t>0</t>
        </is>
      </c>
      <c r="K113" t="inlineStr">
        <is>
          <t>James, E. O. (Edwin Oliver), 1888-1972.</t>
        </is>
      </c>
      <c r="L113" t="inlineStr">
        <is>
          <t>Gloucester, Mass. : P. Smith, 1973.</t>
        </is>
      </c>
      <c r="M113" t="inlineStr">
        <is>
          <t>1973</t>
        </is>
      </c>
      <c r="O113" t="inlineStr">
        <is>
          <t>eng</t>
        </is>
      </c>
      <c r="P113" t="inlineStr">
        <is>
          <t>___</t>
        </is>
      </c>
      <c r="R113" t="inlineStr">
        <is>
          <t xml:space="preserve">BV </t>
        </is>
      </c>
      <c r="S113" t="n">
        <v>6</v>
      </c>
      <c r="T113" t="n">
        <v>6</v>
      </c>
      <c r="U113" t="inlineStr">
        <is>
          <t>1997-09-30</t>
        </is>
      </c>
      <c r="V113" t="inlineStr">
        <is>
          <t>1997-09-30</t>
        </is>
      </c>
      <c r="W113" t="inlineStr">
        <is>
          <t>1991-11-22</t>
        </is>
      </c>
      <c r="X113" t="inlineStr">
        <is>
          <t>1991-11-22</t>
        </is>
      </c>
      <c r="Y113" t="n">
        <v>124</v>
      </c>
      <c r="Z113" t="n">
        <v>105</v>
      </c>
      <c r="AA113" t="n">
        <v>379</v>
      </c>
      <c r="AB113" t="n">
        <v>1</v>
      </c>
      <c r="AC113" t="n">
        <v>2</v>
      </c>
      <c r="AD113" t="n">
        <v>4</v>
      </c>
      <c r="AE113" t="n">
        <v>19</v>
      </c>
      <c r="AF113" t="n">
        <v>2</v>
      </c>
      <c r="AG113" t="n">
        <v>5</v>
      </c>
      <c r="AH113" t="n">
        <v>1</v>
      </c>
      <c r="AI113" t="n">
        <v>4</v>
      </c>
      <c r="AJ113" t="n">
        <v>3</v>
      </c>
      <c r="AK113" t="n">
        <v>13</v>
      </c>
      <c r="AL113" t="n">
        <v>0</v>
      </c>
      <c r="AM113" t="n">
        <v>1</v>
      </c>
      <c r="AN113" t="n">
        <v>0</v>
      </c>
      <c r="AO113" t="n">
        <v>0</v>
      </c>
      <c r="AP113" t="inlineStr">
        <is>
          <t>No</t>
        </is>
      </c>
      <c r="AQ113" t="inlineStr">
        <is>
          <t>Yes</t>
        </is>
      </c>
      <c r="AR113">
        <f>HYPERLINK("http://catalog.hathitrust.org/Record/007117273","HathiTrust Record")</f>
        <v/>
      </c>
      <c r="AS113">
        <f>HYPERLINK("https://creighton-primo.hosted.exlibrisgroup.com/primo-explore/search?tab=default_tab&amp;search_scope=EVERYTHING&amp;vid=01CRU&amp;lang=en_US&amp;offset=0&amp;query=any,contains,991003826709702656","Catalog Record")</f>
        <v/>
      </c>
      <c r="AT113">
        <f>HYPERLINK("http://www.worldcat.org/oclc/1578709","WorldCat Record")</f>
        <v/>
      </c>
      <c r="AU113" t="inlineStr">
        <is>
          <t>222203609:eng</t>
        </is>
      </c>
      <c r="AV113" t="inlineStr">
        <is>
          <t>1578709</t>
        </is>
      </c>
      <c r="AW113" t="inlineStr">
        <is>
          <t>991003826709702656</t>
        </is>
      </c>
      <c r="AX113" t="inlineStr">
        <is>
          <t>991003826709702656</t>
        </is>
      </c>
      <c r="AY113" t="inlineStr">
        <is>
          <t>2262389520002656</t>
        </is>
      </c>
      <c r="AZ113" t="inlineStr">
        <is>
          <t>BOOK</t>
        </is>
      </c>
      <c r="BB113" t="inlineStr">
        <is>
          <t>9780844623078</t>
        </is>
      </c>
      <c r="BC113" t="inlineStr">
        <is>
          <t>32285000835727</t>
        </is>
      </c>
      <c r="BD113" t="inlineStr">
        <is>
          <t>893718118</t>
        </is>
      </c>
    </row>
    <row r="114">
      <c r="A114" t="inlineStr">
        <is>
          <t>No</t>
        </is>
      </c>
      <c r="B114" t="inlineStr">
        <is>
          <t>BV176 .B3 1958</t>
        </is>
      </c>
      <c r="C114" t="inlineStr">
        <is>
          <t>0                      BV 0176000B  3           1958</t>
        </is>
      </c>
      <c r="D114" t="inlineStr">
        <is>
          <t>Comparative liturgy / by Anton Baumstark, revised by Bernard Botte. English edition by F.L. Cross.</t>
        </is>
      </c>
      <c r="F114" t="inlineStr">
        <is>
          <t>No</t>
        </is>
      </c>
      <c r="G114" t="inlineStr">
        <is>
          <t>1</t>
        </is>
      </c>
      <c r="H114" t="inlineStr">
        <is>
          <t>No</t>
        </is>
      </c>
      <c r="I114" t="inlineStr">
        <is>
          <t>No</t>
        </is>
      </c>
      <c r="J114" t="inlineStr">
        <is>
          <t>0</t>
        </is>
      </c>
      <c r="K114" t="inlineStr">
        <is>
          <t>Baumstark, Anton, 1872-1948.</t>
        </is>
      </c>
      <c r="L114" t="inlineStr">
        <is>
          <t>Westminster, Md. : Newman Press, [1958]</t>
        </is>
      </c>
      <c r="M114" t="inlineStr">
        <is>
          <t>1958</t>
        </is>
      </c>
      <c r="O114" t="inlineStr">
        <is>
          <t>eng</t>
        </is>
      </c>
      <c r="P114" t="inlineStr">
        <is>
          <t xml:space="preserve">xx </t>
        </is>
      </c>
      <c r="R114" t="inlineStr">
        <is>
          <t xml:space="preserve">BV </t>
        </is>
      </c>
      <c r="S114" t="n">
        <v>1</v>
      </c>
      <c r="T114" t="n">
        <v>1</v>
      </c>
      <c r="U114" t="inlineStr">
        <is>
          <t>1996-05-24</t>
        </is>
      </c>
      <c r="V114" t="inlineStr">
        <is>
          <t>1996-05-24</t>
        </is>
      </c>
      <c r="W114" t="inlineStr">
        <is>
          <t>1991-11-22</t>
        </is>
      </c>
      <c r="X114" t="inlineStr">
        <is>
          <t>1991-11-22</t>
        </is>
      </c>
      <c r="Y114" t="n">
        <v>127</v>
      </c>
      <c r="Z114" t="n">
        <v>117</v>
      </c>
      <c r="AA114" t="n">
        <v>200</v>
      </c>
      <c r="AB114" t="n">
        <v>2</v>
      </c>
      <c r="AC114" t="n">
        <v>2</v>
      </c>
      <c r="AD114" t="n">
        <v>24</v>
      </c>
      <c r="AE114" t="n">
        <v>29</v>
      </c>
      <c r="AF114" t="n">
        <v>8</v>
      </c>
      <c r="AG114" t="n">
        <v>10</v>
      </c>
      <c r="AH114" t="n">
        <v>3</v>
      </c>
      <c r="AI114" t="n">
        <v>6</v>
      </c>
      <c r="AJ114" t="n">
        <v>18</v>
      </c>
      <c r="AK114" t="n">
        <v>21</v>
      </c>
      <c r="AL114" t="n">
        <v>0</v>
      </c>
      <c r="AM114" t="n">
        <v>0</v>
      </c>
      <c r="AN114" t="n">
        <v>0</v>
      </c>
      <c r="AO114" t="n">
        <v>0</v>
      </c>
      <c r="AP114" t="inlineStr">
        <is>
          <t>No</t>
        </is>
      </c>
      <c r="AQ114" t="inlineStr">
        <is>
          <t>No</t>
        </is>
      </c>
      <c r="AR114">
        <f>HYPERLINK("http://catalog.hathitrust.org/Record/001413102","HathiTrust Record")</f>
        <v/>
      </c>
      <c r="AS114">
        <f>HYPERLINK("https://creighton-primo.hosted.exlibrisgroup.com/primo-explore/search?tab=default_tab&amp;search_scope=EVERYTHING&amp;vid=01CRU&amp;lang=en_US&amp;offset=0&amp;query=any,contains,991003431829702656","Catalog Record")</f>
        <v/>
      </c>
      <c r="AT114">
        <f>HYPERLINK("http://www.worldcat.org/oclc/966733","WorldCat Record")</f>
        <v/>
      </c>
      <c r="AU114" t="inlineStr">
        <is>
          <t>1921797:eng</t>
        </is>
      </c>
      <c r="AV114" t="inlineStr">
        <is>
          <t>966733</t>
        </is>
      </c>
      <c r="AW114" t="inlineStr">
        <is>
          <t>991003431829702656</t>
        </is>
      </c>
      <c r="AX114" t="inlineStr">
        <is>
          <t>991003431829702656</t>
        </is>
      </c>
      <c r="AY114" t="inlineStr">
        <is>
          <t>2262189040002656</t>
        </is>
      </c>
      <c r="AZ114" t="inlineStr">
        <is>
          <t>BOOK</t>
        </is>
      </c>
      <c r="BC114" t="inlineStr">
        <is>
          <t>32285000835743</t>
        </is>
      </c>
      <c r="BD114" t="inlineStr">
        <is>
          <t>893592510</t>
        </is>
      </c>
    </row>
    <row r="115">
      <c r="A115" t="inlineStr">
        <is>
          <t>No</t>
        </is>
      </c>
      <c r="B115" t="inlineStr">
        <is>
          <t>BV176 .B34 1991</t>
        </is>
      </c>
      <c r="C115" t="inlineStr">
        <is>
          <t>0                      BV 0176000B  34          1991</t>
        </is>
      </c>
      <c r="D115" t="inlineStr">
        <is>
          <t>Worship : city, church and renewal / John F. Baldovin.</t>
        </is>
      </c>
      <c r="F115" t="inlineStr">
        <is>
          <t>No</t>
        </is>
      </c>
      <c r="G115" t="inlineStr">
        <is>
          <t>1</t>
        </is>
      </c>
      <c r="H115" t="inlineStr">
        <is>
          <t>No</t>
        </is>
      </c>
      <c r="I115" t="inlineStr">
        <is>
          <t>No</t>
        </is>
      </c>
      <c r="J115" t="inlineStr">
        <is>
          <t>0</t>
        </is>
      </c>
      <c r="K115" t="inlineStr">
        <is>
          <t>Baldovin, John F. (John Francis), 1947-</t>
        </is>
      </c>
      <c r="L115" t="inlineStr">
        <is>
          <t>Washington, D.C. : Pastoral Press, c1991.</t>
        </is>
      </c>
      <c r="M115" t="inlineStr">
        <is>
          <t>1991</t>
        </is>
      </c>
      <c r="O115" t="inlineStr">
        <is>
          <t>eng</t>
        </is>
      </c>
      <c r="P115" t="inlineStr">
        <is>
          <t>dcu</t>
        </is>
      </c>
      <c r="R115" t="inlineStr">
        <is>
          <t xml:space="preserve">BV </t>
        </is>
      </c>
      <c r="S115" t="n">
        <v>5</v>
      </c>
      <c r="T115" t="n">
        <v>5</v>
      </c>
      <c r="U115" t="inlineStr">
        <is>
          <t>1997-12-02</t>
        </is>
      </c>
      <c r="V115" t="inlineStr">
        <is>
          <t>1997-12-02</t>
        </is>
      </c>
      <c r="W115" t="inlineStr">
        <is>
          <t>1994-04-21</t>
        </is>
      </c>
      <c r="X115" t="inlineStr">
        <is>
          <t>1994-04-21</t>
        </is>
      </c>
      <c r="Y115" t="n">
        <v>123</v>
      </c>
      <c r="Z115" t="n">
        <v>96</v>
      </c>
      <c r="AA115" t="n">
        <v>96</v>
      </c>
      <c r="AB115" t="n">
        <v>1</v>
      </c>
      <c r="AC115" t="n">
        <v>1</v>
      </c>
      <c r="AD115" t="n">
        <v>11</v>
      </c>
      <c r="AE115" t="n">
        <v>11</v>
      </c>
      <c r="AF115" t="n">
        <v>2</v>
      </c>
      <c r="AG115" t="n">
        <v>2</v>
      </c>
      <c r="AH115" t="n">
        <v>3</v>
      </c>
      <c r="AI115" t="n">
        <v>3</v>
      </c>
      <c r="AJ115" t="n">
        <v>8</v>
      </c>
      <c r="AK115" t="n">
        <v>8</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HYPERLINK("https://creighton-primo.hosted.exlibrisgroup.com/primo-explore/search?tab=default_tab&amp;search_scope=EVERYTHING&amp;vid=01CRU&amp;lang=en_US&amp;offset=0&amp;query=any,contains,991001896229702656","Catalog Record")</f>
        <v/>
      </c>
      <c r="AT115">
        <f>HYPERLINK("http://www.worldcat.org/oclc/23960261","WorldCat Record")</f>
        <v/>
      </c>
      <c r="AU115" t="inlineStr">
        <is>
          <t>1097376267:eng</t>
        </is>
      </c>
      <c r="AV115" t="inlineStr">
        <is>
          <t>23960261</t>
        </is>
      </c>
      <c r="AW115" t="inlineStr">
        <is>
          <t>991001896229702656</t>
        </is>
      </c>
      <c r="AX115" t="inlineStr">
        <is>
          <t>991001896229702656</t>
        </is>
      </c>
      <c r="AY115" t="inlineStr">
        <is>
          <t>2272100480002656</t>
        </is>
      </c>
      <c r="AZ115" t="inlineStr">
        <is>
          <t>BOOK</t>
        </is>
      </c>
      <c r="BB115" t="inlineStr">
        <is>
          <t>9780912405780</t>
        </is>
      </c>
      <c r="BC115" t="inlineStr">
        <is>
          <t>32285001875730</t>
        </is>
      </c>
      <c r="BD115" t="inlineStr">
        <is>
          <t>893534742</t>
        </is>
      </c>
    </row>
    <row r="116">
      <c r="A116" t="inlineStr">
        <is>
          <t>No</t>
        </is>
      </c>
      <c r="B116" t="inlineStr">
        <is>
          <t>BV176 .C64 1983</t>
        </is>
      </c>
      <c r="C116" t="inlineStr">
        <is>
          <t>0                      BV 0176000C  64          1983</t>
        </is>
      </c>
      <c r="D116" t="inlineStr">
        <is>
          <t>More than meets the eye : ritual and parish liturgy / Patrick W. Collins.</t>
        </is>
      </c>
      <c r="F116" t="inlineStr">
        <is>
          <t>No</t>
        </is>
      </c>
      <c r="G116" t="inlineStr">
        <is>
          <t>1</t>
        </is>
      </c>
      <c r="H116" t="inlineStr">
        <is>
          <t>No</t>
        </is>
      </c>
      <c r="I116" t="inlineStr">
        <is>
          <t>No</t>
        </is>
      </c>
      <c r="J116" t="inlineStr">
        <is>
          <t>0</t>
        </is>
      </c>
      <c r="K116" t="inlineStr">
        <is>
          <t>Collins, Patrick W.</t>
        </is>
      </c>
      <c r="L116" t="inlineStr">
        <is>
          <t>New York : Paulist Press, c1983.</t>
        </is>
      </c>
      <c r="M116" t="inlineStr">
        <is>
          <t>1983</t>
        </is>
      </c>
      <c r="O116" t="inlineStr">
        <is>
          <t>eng</t>
        </is>
      </c>
      <c r="P116" t="inlineStr">
        <is>
          <t>nyu</t>
        </is>
      </c>
      <c r="R116" t="inlineStr">
        <is>
          <t xml:space="preserve">BV </t>
        </is>
      </c>
      <c r="S116" t="n">
        <v>3</v>
      </c>
      <c r="T116" t="n">
        <v>3</v>
      </c>
      <c r="U116" t="inlineStr">
        <is>
          <t>1999-07-20</t>
        </is>
      </c>
      <c r="V116" t="inlineStr">
        <is>
          <t>1999-07-20</t>
        </is>
      </c>
      <c r="W116" t="inlineStr">
        <is>
          <t>1991-11-22</t>
        </is>
      </c>
      <c r="X116" t="inlineStr">
        <is>
          <t>1991-11-22</t>
        </is>
      </c>
      <c r="Y116" t="n">
        <v>153</v>
      </c>
      <c r="Z116" t="n">
        <v>129</v>
      </c>
      <c r="AA116" t="n">
        <v>134</v>
      </c>
      <c r="AB116" t="n">
        <v>1</v>
      </c>
      <c r="AC116" t="n">
        <v>1</v>
      </c>
      <c r="AD116" t="n">
        <v>14</v>
      </c>
      <c r="AE116" t="n">
        <v>14</v>
      </c>
      <c r="AF116" t="n">
        <v>2</v>
      </c>
      <c r="AG116" t="n">
        <v>2</v>
      </c>
      <c r="AH116" t="n">
        <v>3</v>
      </c>
      <c r="AI116" t="n">
        <v>3</v>
      </c>
      <c r="AJ116" t="n">
        <v>11</v>
      </c>
      <c r="AK116" t="n">
        <v>11</v>
      </c>
      <c r="AL116" t="n">
        <v>0</v>
      </c>
      <c r="AM116" t="n">
        <v>0</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HYPERLINK("https://creighton-primo.hosted.exlibrisgroup.com/primo-explore/search?tab=default_tab&amp;search_scope=EVERYTHING&amp;vid=01CRU&amp;lang=en_US&amp;offset=0&amp;query=any,contains,991000270859702656","Catalog Record")</f>
        <v/>
      </c>
      <c r="AT116">
        <f>HYPERLINK("http://www.worldcat.org/oclc/9854129","WorldCat Record")</f>
        <v/>
      </c>
      <c r="AU116" t="inlineStr">
        <is>
          <t>5164223638:eng</t>
        </is>
      </c>
      <c r="AV116" t="inlineStr">
        <is>
          <t>9854129</t>
        </is>
      </c>
      <c r="AW116" t="inlineStr">
        <is>
          <t>991000270859702656</t>
        </is>
      </c>
      <c r="AX116" t="inlineStr">
        <is>
          <t>991000270859702656</t>
        </is>
      </c>
      <c r="AY116" t="inlineStr">
        <is>
          <t>2261394720002656</t>
        </is>
      </c>
      <c r="AZ116" t="inlineStr">
        <is>
          <t>BOOK</t>
        </is>
      </c>
      <c r="BB116" t="inlineStr">
        <is>
          <t>9780809125395</t>
        </is>
      </c>
      <c r="BC116" t="inlineStr">
        <is>
          <t>32285000835768</t>
        </is>
      </c>
      <c r="BD116" t="inlineStr">
        <is>
          <t>893614061</t>
        </is>
      </c>
    </row>
    <row r="117">
      <c r="A117" t="inlineStr">
        <is>
          <t>No</t>
        </is>
      </c>
      <c r="B117" t="inlineStr">
        <is>
          <t>BV176 .C65 1987</t>
        </is>
      </c>
      <c r="C117" t="inlineStr">
        <is>
          <t>0                      BV 0176000C  65          1987</t>
        </is>
      </c>
      <c r="D117" t="inlineStr">
        <is>
          <t>Worship : renewal to practice / Mary Collins.</t>
        </is>
      </c>
      <c r="F117" t="inlineStr">
        <is>
          <t>No</t>
        </is>
      </c>
      <c r="G117" t="inlineStr">
        <is>
          <t>1</t>
        </is>
      </c>
      <c r="H117" t="inlineStr">
        <is>
          <t>No</t>
        </is>
      </c>
      <c r="I117" t="inlineStr">
        <is>
          <t>No</t>
        </is>
      </c>
      <c r="J117" t="inlineStr">
        <is>
          <t>0</t>
        </is>
      </c>
      <c r="K117" t="inlineStr">
        <is>
          <t>Collins, Mary, 1935-</t>
        </is>
      </c>
      <c r="L117" t="inlineStr">
        <is>
          <t>Washington, D.C. : Pastoral Press, 1987.</t>
        </is>
      </c>
      <c r="M117" t="inlineStr">
        <is>
          <t>1987</t>
        </is>
      </c>
      <c r="O117" t="inlineStr">
        <is>
          <t>eng</t>
        </is>
      </c>
      <c r="P117" t="inlineStr">
        <is>
          <t>dcu</t>
        </is>
      </c>
      <c r="R117" t="inlineStr">
        <is>
          <t xml:space="preserve">BV </t>
        </is>
      </c>
      <c r="S117" t="n">
        <v>4</v>
      </c>
      <c r="T117" t="n">
        <v>4</v>
      </c>
      <c r="U117" t="inlineStr">
        <is>
          <t>1992-08-04</t>
        </is>
      </c>
      <c r="V117" t="inlineStr">
        <is>
          <t>1992-08-04</t>
        </is>
      </c>
      <c r="W117" t="inlineStr">
        <is>
          <t>1990-05-08</t>
        </is>
      </c>
      <c r="X117" t="inlineStr">
        <is>
          <t>1990-05-08</t>
        </is>
      </c>
      <c r="Y117" t="n">
        <v>166</v>
      </c>
      <c r="Z117" t="n">
        <v>131</v>
      </c>
      <c r="AA117" t="n">
        <v>132</v>
      </c>
      <c r="AB117" t="n">
        <v>2</v>
      </c>
      <c r="AC117" t="n">
        <v>2</v>
      </c>
      <c r="AD117" t="n">
        <v>16</v>
      </c>
      <c r="AE117" t="n">
        <v>16</v>
      </c>
      <c r="AF117" t="n">
        <v>4</v>
      </c>
      <c r="AG117" t="n">
        <v>4</v>
      </c>
      <c r="AH117" t="n">
        <v>4</v>
      </c>
      <c r="AI117" t="n">
        <v>4</v>
      </c>
      <c r="AJ117" t="n">
        <v>10</v>
      </c>
      <c r="AK117" t="n">
        <v>10</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HYPERLINK("https://creighton-primo.hosted.exlibrisgroup.com/primo-explore/search?tab=default_tab&amp;search_scope=EVERYTHING&amp;vid=01CRU&amp;lang=en_US&amp;offset=0&amp;query=any,contains,991001113579702656","Catalog Record")</f>
        <v/>
      </c>
      <c r="AT117">
        <f>HYPERLINK("http://www.worldcat.org/oclc/16518035","WorldCat Record")</f>
        <v/>
      </c>
      <c r="AU117" t="inlineStr">
        <is>
          <t>378254460:eng</t>
        </is>
      </c>
      <c r="AV117" t="inlineStr">
        <is>
          <t>16518035</t>
        </is>
      </c>
      <c r="AW117" t="inlineStr">
        <is>
          <t>991001113579702656</t>
        </is>
      </c>
      <c r="AX117" t="inlineStr">
        <is>
          <t>991001113579702656</t>
        </is>
      </c>
      <c r="AY117" t="inlineStr">
        <is>
          <t>2256367610002656</t>
        </is>
      </c>
      <c r="AZ117" t="inlineStr">
        <is>
          <t>BOOK</t>
        </is>
      </c>
      <c r="BB117" t="inlineStr">
        <is>
          <t>9780912405322</t>
        </is>
      </c>
      <c r="BC117" t="inlineStr">
        <is>
          <t>32285000150515</t>
        </is>
      </c>
      <c r="BD117" t="inlineStr">
        <is>
          <t>893426328</t>
        </is>
      </c>
    </row>
    <row r="118">
      <c r="A118" t="inlineStr">
        <is>
          <t>No</t>
        </is>
      </c>
      <c r="B118" t="inlineStr">
        <is>
          <t>BV176 .E56 1987</t>
        </is>
      </c>
      <c r="C118" t="inlineStr">
        <is>
          <t>0                      BV 0176000E  56          1987</t>
        </is>
      </c>
      <c r="D118" t="inlineStr">
        <is>
          <t>Worship : exploring the sacred / James Empereur.</t>
        </is>
      </c>
      <c r="F118" t="inlineStr">
        <is>
          <t>No</t>
        </is>
      </c>
      <c r="G118" t="inlineStr">
        <is>
          <t>1</t>
        </is>
      </c>
      <c r="H118" t="inlineStr">
        <is>
          <t>No</t>
        </is>
      </c>
      <c r="I118" t="inlineStr">
        <is>
          <t>No</t>
        </is>
      </c>
      <c r="J118" t="inlineStr">
        <is>
          <t>0</t>
        </is>
      </c>
      <c r="K118" t="inlineStr">
        <is>
          <t>Empereur, James L.</t>
        </is>
      </c>
      <c r="L118" t="inlineStr">
        <is>
          <t>Washington, D.C. : Pastoral Press, 1987.</t>
        </is>
      </c>
      <c r="M118" t="inlineStr">
        <is>
          <t>1987</t>
        </is>
      </c>
      <c r="O118" t="inlineStr">
        <is>
          <t>eng</t>
        </is>
      </c>
      <c r="P118" t="inlineStr">
        <is>
          <t>dcu</t>
        </is>
      </c>
      <c r="R118" t="inlineStr">
        <is>
          <t xml:space="preserve">BV </t>
        </is>
      </c>
      <c r="S118" t="n">
        <v>1</v>
      </c>
      <c r="T118" t="n">
        <v>1</v>
      </c>
      <c r="U118" t="inlineStr">
        <is>
          <t>1992-01-11</t>
        </is>
      </c>
      <c r="V118" t="inlineStr">
        <is>
          <t>1992-01-11</t>
        </is>
      </c>
      <c r="W118" t="inlineStr">
        <is>
          <t>1990-04-11</t>
        </is>
      </c>
      <c r="X118" t="inlineStr">
        <is>
          <t>1990-04-11</t>
        </is>
      </c>
      <c r="Y118" t="n">
        <v>169</v>
      </c>
      <c r="Z118" t="n">
        <v>132</v>
      </c>
      <c r="AA118" t="n">
        <v>138</v>
      </c>
      <c r="AB118" t="n">
        <v>1</v>
      </c>
      <c r="AC118" t="n">
        <v>1</v>
      </c>
      <c r="AD118" t="n">
        <v>16</v>
      </c>
      <c r="AE118" t="n">
        <v>16</v>
      </c>
      <c r="AF118" t="n">
        <v>5</v>
      </c>
      <c r="AG118" t="n">
        <v>5</v>
      </c>
      <c r="AH118" t="n">
        <v>3</v>
      </c>
      <c r="AI118" t="n">
        <v>3</v>
      </c>
      <c r="AJ118" t="n">
        <v>11</v>
      </c>
      <c r="AK118" t="n">
        <v>11</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HYPERLINK("https://creighton-primo.hosted.exlibrisgroup.com/primo-explore/search?tab=default_tab&amp;search_scope=EVERYTHING&amp;vid=01CRU&amp;lang=en_US&amp;offset=0&amp;query=any,contains,991001113609702656","Catalog Record")</f>
        <v/>
      </c>
      <c r="AT118">
        <f>HYPERLINK("http://www.worldcat.org/oclc/16518055","WorldCat Record")</f>
        <v/>
      </c>
      <c r="AU118" t="inlineStr">
        <is>
          <t>378254468:eng</t>
        </is>
      </c>
      <c r="AV118" t="inlineStr">
        <is>
          <t>16518055</t>
        </is>
      </c>
      <c r="AW118" t="inlineStr">
        <is>
          <t>991001113609702656</t>
        </is>
      </c>
      <c r="AX118" t="inlineStr">
        <is>
          <t>991001113609702656</t>
        </is>
      </c>
      <c r="AY118" t="inlineStr">
        <is>
          <t>2258781590002656</t>
        </is>
      </c>
      <c r="AZ118" t="inlineStr">
        <is>
          <t>BOOK</t>
        </is>
      </c>
      <c r="BB118" t="inlineStr">
        <is>
          <t>9780912405339</t>
        </is>
      </c>
      <c r="BC118" t="inlineStr">
        <is>
          <t>32285000094937</t>
        </is>
      </c>
      <c r="BD118" t="inlineStr">
        <is>
          <t>893522305</t>
        </is>
      </c>
    </row>
    <row r="119">
      <c r="A119" t="inlineStr">
        <is>
          <t>No</t>
        </is>
      </c>
      <c r="B119" t="inlineStr">
        <is>
          <t>BV176 .H34 1976</t>
        </is>
      </c>
      <c r="C119" t="inlineStr">
        <is>
          <t>0                      BV 0176000H  34          1976</t>
        </is>
      </c>
      <c r="D119" t="inlineStr">
        <is>
          <t>Sanctifying life, time, and space : an introduction to liturgical study / Marion J. Hatchett.</t>
        </is>
      </c>
      <c r="F119" t="inlineStr">
        <is>
          <t>No</t>
        </is>
      </c>
      <c r="G119" t="inlineStr">
        <is>
          <t>1</t>
        </is>
      </c>
      <c r="H119" t="inlineStr">
        <is>
          <t>No</t>
        </is>
      </c>
      <c r="I119" t="inlineStr">
        <is>
          <t>No</t>
        </is>
      </c>
      <c r="J119" t="inlineStr">
        <is>
          <t>0</t>
        </is>
      </c>
      <c r="K119" t="inlineStr">
        <is>
          <t>Hatchett, Marion J.</t>
        </is>
      </c>
      <c r="L119" t="inlineStr">
        <is>
          <t>New York : Seabury Press, c1976.</t>
        </is>
      </c>
      <c r="M119" t="inlineStr">
        <is>
          <t>1976</t>
        </is>
      </c>
      <c r="O119" t="inlineStr">
        <is>
          <t>eng</t>
        </is>
      </c>
      <c r="P119" t="inlineStr">
        <is>
          <t>nyu</t>
        </is>
      </c>
      <c r="R119" t="inlineStr">
        <is>
          <t xml:space="preserve">BV </t>
        </is>
      </c>
      <c r="S119" t="n">
        <v>5</v>
      </c>
      <c r="T119" t="n">
        <v>5</v>
      </c>
      <c r="U119" t="inlineStr">
        <is>
          <t>2005-02-03</t>
        </is>
      </c>
      <c r="V119" t="inlineStr">
        <is>
          <t>2005-02-03</t>
        </is>
      </c>
      <c r="W119" t="inlineStr">
        <is>
          <t>1990-04-26</t>
        </is>
      </c>
      <c r="X119" t="inlineStr">
        <is>
          <t>1990-04-26</t>
        </is>
      </c>
      <c r="Y119" t="n">
        <v>370</v>
      </c>
      <c r="Z119" t="n">
        <v>317</v>
      </c>
      <c r="AA119" t="n">
        <v>332</v>
      </c>
      <c r="AB119" t="n">
        <v>5</v>
      </c>
      <c r="AC119" t="n">
        <v>6</v>
      </c>
      <c r="AD119" t="n">
        <v>29</v>
      </c>
      <c r="AE119" t="n">
        <v>31</v>
      </c>
      <c r="AF119" t="n">
        <v>6</v>
      </c>
      <c r="AG119" t="n">
        <v>7</v>
      </c>
      <c r="AH119" t="n">
        <v>6</v>
      </c>
      <c r="AI119" t="n">
        <v>6</v>
      </c>
      <c r="AJ119" t="n">
        <v>21</v>
      </c>
      <c r="AK119" t="n">
        <v>21</v>
      </c>
      <c r="AL119" t="n">
        <v>3</v>
      </c>
      <c r="AM119" t="n">
        <v>4</v>
      </c>
      <c r="AN119" t="n">
        <v>0</v>
      </c>
      <c r="AO119" t="n">
        <v>0</v>
      </c>
      <c r="AP119" t="inlineStr">
        <is>
          <t>No</t>
        </is>
      </c>
      <c r="AQ119" t="inlineStr">
        <is>
          <t>Yes</t>
        </is>
      </c>
      <c r="AR119">
        <f>HYPERLINK("http://catalog.hathitrust.org/Record/006017261","HathiTrust Record")</f>
        <v/>
      </c>
      <c r="AS119">
        <f>HYPERLINK("https://creighton-primo.hosted.exlibrisgroup.com/primo-explore/search?tab=default_tab&amp;search_scope=EVERYTHING&amp;vid=01CRU&amp;lang=en_US&amp;offset=0&amp;query=any,contains,991003918169702656","Catalog Record")</f>
        <v/>
      </c>
      <c r="AT119">
        <f>HYPERLINK("http://www.worldcat.org/oclc/1863593","WorldCat Record")</f>
        <v/>
      </c>
      <c r="AU119" t="inlineStr">
        <is>
          <t>479580:eng</t>
        </is>
      </c>
      <c r="AV119" t="inlineStr">
        <is>
          <t>1863593</t>
        </is>
      </c>
      <c r="AW119" t="inlineStr">
        <is>
          <t>991003918169702656</t>
        </is>
      </c>
      <c r="AX119" t="inlineStr">
        <is>
          <t>991003918169702656</t>
        </is>
      </c>
      <c r="AY119" t="inlineStr">
        <is>
          <t>2263263700002656</t>
        </is>
      </c>
      <c r="AZ119" t="inlineStr">
        <is>
          <t>BOOK</t>
        </is>
      </c>
      <c r="BB119" t="inlineStr">
        <is>
          <t>9780816402908</t>
        </is>
      </c>
      <c r="BC119" t="inlineStr">
        <is>
          <t>32285000133875</t>
        </is>
      </c>
      <c r="BD119" t="inlineStr">
        <is>
          <t>893441952</t>
        </is>
      </c>
    </row>
    <row r="120">
      <c r="A120" t="inlineStr">
        <is>
          <t>No</t>
        </is>
      </c>
      <c r="B120" t="inlineStr">
        <is>
          <t>BV176 .H57 1974</t>
        </is>
      </c>
      <c r="C120" t="inlineStr">
        <is>
          <t>0                      BV 0176000H  57          1974</t>
        </is>
      </c>
      <c r="D120" t="inlineStr">
        <is>
          <t>The recovery of the sacred / James Hitchcock.</t>
        </is>
      </c>
      <c r="F120" t="inlineStr">
        <is>
          <t>No</t>
        </is>
      </c>
      <c r="G120" t="inlineStr">
        <is>
          <t>1</t>
        </is>
      </c>
      <c r="H120" t="inlineStr">
        <is>
          <t>No</t>
        </is>
      </c>
      <c r="I120" t="inlineStr">
        <is>
          <t>No</t>
        </is>
      </c>
      <c r="J120" t="inlineStr">
        <is>
          <t>0</t>
        </is>
      </c>
      <c r="K120" t="inlineStr">
        <is>
          <t>Hitchcock, James, 1938-</t>
        </is>
      </c>
      <c r="L120" t="inlineStr">
        <is>
          <t>New York : Seabury Press, [1974]</t>
        </is>
      </c>
      <c r="M120" t="inlineStr">
        <is>
          <t>1974</t>
        </is>
      </c>
      <c r="O120" t="inlineStr">
        <is>
          <t>eng</t>
        </is>
      </c>
      <c r="P120" t="inlineStr">
        <is>
          <t>nyu</t>
        </is>
      </c>
      <c r="R120" t="inlineStr">
        <is>
          <t xml:space="preserve">BV </t>
        </is>
      </c>
      <c r="S120" t="n">
        <v>4</v>
      </c>
      <c r="T120" t="n">
        <v>4</v>
      </c>
      <c r="U120" t="inlineStr">
        <is>
          <t>2010-03-02</t>
        </is>
      </c>
      <c r="V120" t="inlineStr">
        <is>
          <t>2010-03-02</t>
        </is>
      </c>
      <c r="W120" t="inlineStr">
        <is>
          <t>1991-12-06</t>
        </is>
      </c>
      <c r="X120" t="inlineStr">
        <is>
          <t>1991-12-06</t>
        </is>
      </c>
      <c r="Y120" t="n">
        <v>475</v>
      </c>
      <c r="Z120" t="n">
        <v>420</v>
      </c>
      <c r="AA120" t="n">
        <v>451</v>
      </c>
      <c r="AB120" t="n">
        <v>5</v>
      </c>
      <c r="AC120" t="n">
        <v>5</v>
      </c>
      <c r="AD120" t="n">
        <v>35</v>
      </c>
      <c r="AE120" t="n">
        <v>36</v>
      </c>
      <c r="AF120" t="n">
        <v>12</v>
      </c>
      <c r="AG120" t="n">
        <v>13</v>
      </c>
      <c r="AH120" t="n">
        <v>8</v>
      </c>
      <c r="AI120" t="n">
        <v>8</v>
      </c>
      <c r="AJ120" t="n">
        <v>23</v>
      </c>
      <c r="AK120" t="n">
        <v>24</v>
      </c>
      <c r="AL120" t="n">
        <v>3</v>
      </c>
      <c r="AM120" t="n">
        <v>3</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HYPERLINK("https://creighton-primo.hosted.exlibrisgroup.com/primo-explore/search?tab=default_tab&amp;search_scope=EVERYTHING&amp;vid=01CRU&amp;lang=en_US&amp;offset=0&amp;query=any,contains,991003240599702656","Catalog Record")</f>
        <v/>
      </c>
      <c r="AT120">
        <f>HYPERLINK("http://www.worldcat.org/oclc/763573","WorldCat Record")</f>
        <v/>
      </c>
      <c r="AU120" t="inlineStr">
        <is>
          <t>1647433:eng</t>
        </is>
      </c>
      <c r="AV120" t="inlineStr">
        <is>
          <t>763573</t>
        </is>
      </c>
      <c r="AW120" t="inlineStr">
        <is>
          <t>991003240599702656</t>
        </is>
      </c>
      <c r="AX120" t="inlineStr">
        <is>
          <t>991003240599702656</t>
        </is>
      </c>
      <c r="AY120" t="inlineStr">
        <is>
          <t>2266508100002656</t>
        </is>
      </c>
      <c r="AZ120" t="inlineStr">
        <is>
          <t>BOOK</t>
        </is>
      </c>
      <c r="BB120" t="inlineStr">
        <is>
          <t>9780816411504</t>
        </is>
      </c>
      <c r="BC120" t="inlineStr">
        <is>
          <t>32285000837624</t>
        </is>
      </c>
      <c r="BD120" t="inlineStr">
        <is>
          <t>893441062</t>
        </is>
      </c>
    </row>
    <row r="121">
      <c r="A121" t="inlineStr">
        <is>
          <t>No</t>
        </is>
      </c>
      <c r="B121" t="inlineStr">
        <is>
          <t>BV176 .J813 1962</t>
        </is>
      </c>
      <c r="C121" t="inlineStr">
        <is>
          <t>0                      BV 0176000J  813         1962</t>
        </is>
      </c>
      <c r="D121" t="inlineStr">
        <is>
          <t>Pastoral liturgy / by J.A. Jungmann.</t>
        </is>
      </c>
      <c r="F121" t="inlineStr">
        <is>
          <t>No</t>
        </is>
      </c>
      <c r="G121" t="inlineStr">
        <is>
          <t>1</t>
        </is>
      </c>
      <c r="H121" t="inlineStr">
        <is>
          <t>No</t>
        </is>
      </c>
      <c r="I121" t="inlineStr">
        <is>
          <t>No</t>
        </is>
      </c>
      <c r="J121" t="inlineStr">
        <is>
          <t>0</t>
        </is>
      </c>
      <c r="K121" t="inlineStr">
        <is>
          <t>Jungmann, Josef A. (Josef Andreas), 1889-1975.</t>
        </is>
      </c>
      <c r="L121" t="inlineStr">
        <is>
          <t>New York : Herder and Herder, [1962]</t>
        </is>
      </c>
      <c r="M121" t="inlineStr">
        <is>
          <t>1962</t>
        </is>
      </c>
      <c r="O121" t="inlineStr">
        <is>
          <t>eng</t>
        </is>
      </c>
      <c r="P121" t="inlineStr">
        <is>
          <t>nyu</t>
        </is>
      </c>
      <c r="R121" t="inlineStr">
        <is>
          <t xml:space="preserve">BV </t>
        </is>
      </c>
      <c r="S121" t="n">
        <v>6</v>
      </c>
      <c r="T121" t="n">
        <v>6</v>
      </c>
      <c r="U121" t="inlineStr">
        <is>
          <t>2008-03-10</t>
        </is>
      </c>
      <c r="V121" t="inlineStr">
        <is>
          <t>2008-03-10</t>
        </is>
      </c>
      <c r="W121" t="inlineStr">
        <is>
          <t>1991-11-22</t>
        </is>
      </c>
      <c r="X121" t="inlineStr">
        <is>
          <t>1991-11-22</t>
        </is>
      </c>
      <c r="Y121" t="n">
        <v>246</v>
      </c>
      <c r="Z121" t="n">
        <v>212</v>
      </c>
      <c r="AA121" t="n">
        <v>239</v>
      </c>
      <c r="AB121" t="n">
        <v>4</v>
      </c>
      <c r="AC121" t="n">
        <v>4</v>
      </c>
      <c r="AD121" t="n">
        <v>34</v>
      </c>
      <c r="AE121" t="n">
        <v>35</v>
      </c>
      <c r="AF121" t="n">
        <v>14</v>
      </c>
      <c r="AG121" t="n">
        <v>14</v>
      </c>
      <c r="AH121" t="n">
        <v>7</v>
      </c>
      <c r="AI121" t="n">
        <v>8</v>
      </c>
      <c r="AJ121" t="n">
        <v>24</v>
      </c>
      <c r="AK121" t="n">
        <v>24</v>
      </c>
      <c r="AL121" t="n">
        <v>1</v>
      </c>
      <c r="AM121" t="n">
        <v>1</v>
      </c>
      <c r="AN121" t="n">
        <v>0</v>
      </c>
      <c r="AO121" t="n">
        <v>0</v>
      </c>
      <c r="AP121" t="inlineStr">
        <is>
          <t>No</t>
        </is>
      </c>
      <c r="AQ121" t="inlineStr">
        <is>
          <t>Yes</t>
        </is>
      </c>
      <c r="AR121">
        <f>HYPERLINK("http://catalog.hathitrust.org/Record/001413106","HathiTrust Record")</f>
        <v/>
      </c>
      <c r="AS121">
        <f>HYPERLINK("https://creighton-primo.hosted.exlibrisgroup.com/primo-explore/search?tab=default_tab&amp;search_scope=EVERYTHING&amp;vid=01CRU&amp;lang=en_US&amp;offset=0&amp;query=any,contains,991004222649702656","Catalog Record")</f>
        <v/>
      </c>
      <c r="AT121">
        <f>HYPERLINK("http://www.worldcat.org/oclc/2717685","WorldCat Record")</f>
        <v/>
      </c>
      <c r="AU121" t="inlineStr">
        <is>
          <t>1966680:eng</t>
        </is>
      </c>
      <c r="AV121" t="inlineStr">
        <is>
          <t>2717685</t>
        </is>
      </c>
      <c r="AW121" t="inlineStr">
        <is>
          <t>991004222649702656</t>
        </is>
      </c>
      <c r="AX121" t="inlineStr">
        <is>
          <t>991004222649702656</t>
        </is>
      </c>
      <c r="AY121" t="inlineStr">
        <is>
          <t>2269864950002656</t>
        </is>
      </c>
      <c r="AZ121" t="inlineStr">
        <is>
          <t>BOOK</t>
        </is>
      </c>
      <c r="BC121" t="inlineStr">
        <is>
          <t>32285000835784</t>
        </is>
      </c>
      <c r="BD121" t="inlineStr">
        <is>
          <t>893235219</t>
        </is>
      </c>
    </row>
    <row r="122">
      <c r="A122" t="inlineStr">
        <is>
          <t>No</t>
        </is>
      </c>
      <c r="B122" t="inlineStr">
        <is>
          <t>BV176 .L37 1993</t>
        </is>
      </c>
      <c r="C122" t="inlineStr">
        <is>
          <t>0                      BV 0176000L  37          1993</t>
        </is>
      </c>
      <c r="D122" t="inlineStr">
        <is>
          <t>Holy things : a liturgical theology / Gordon W. Lathrop.</t>
        </is>
      </c>
      <c r="F122" t="inlineStr">
        <is>
          <t>No</t>
        </is>
      </c>
      <c r="G122" t="inlineStr">
        <is>
          <t>1</t>
        </is>
      </c>
      <c r="H122" t="inlineStr">
        <is>
          <t>No</t>
        </is>
      </c>
      <c r="I122" t="inlineStr">
        <is>
          <t>No</t>
        </is>
      </c>
      <c r="J122" t="inlineStr">
        <is>
          <t>0</t>
        </is>
      </c>
      <c r="K122" t="inlineStr">
        <is>
          <t>Lathrop, Gordon W., 1939-</t>
        </is>
      </c>
      <c r="L122" t="inlineStr">
        <is>
          <t>Minneapolis : Fortress Press, c1993.</t>
        </is>
      </c>
      <c r="M122" t="inlineStr">
        <is>
          <t>1993</t>
        </is>
      </c>
      <c r="O122" t="inlineStr">
        <is>
          <t>eng</t>
        </is>
      </c>
      <c r="P122" t="inlineStr">
        <is>
          <t>mnu</t>
        </is>
      </c>
      <c r="R122" t="inlineStr">
        <is>
          <t xml:space="preserve">BV </t>
        </is>
      </c>
      <c r="S122" t="n">
        <v>6</v>
      </c>
      <c r="T122" t="n">
        <v>6</v>
      </c>
      <c r="U122" t="inlineStr">
        <is>
          <t>2005-03-03</t>
        </is>
      </c>
      <c r="V122" t="inlineStr">
        <is>
          <t>2005-03-03</t>
        </is>
      </c>
      <c r="W122" t="inlineStr">
        <is>
          <t>1994-04-20</t>
        </is>
      </c>
      <c r="X122" t="inlineStr">
        <is>
          <t>1994-04-20</t>
        </is>
      </c>
      <c r="Y122" t="n">
        <v>302</v>
      </c>
      <c r="Z122" t="n">
        <v>226</v>
      </c>
      <c r="AA122" t="n">
        <v>289</v>
      </c>
      <c r="AB122" t="n">
        <v>3</v>
      </c>
      <c r="AC122" t="n">
        <v>3</v>
      </c>
      <c r="AD122" t="n">
        <v>21</v>
      </c>
      <c r="AE122" t="n">
        <v>25</v>
      </c>
      <c r="AF122" t="n">
        <v>7</v>
      </c>
      <c r="AG122" t="n">
        <v>8</v>
      </c>
      <c r="AH122" t="n">
        <v>5</v>
      </c>
      <c r="AI122" t="n">
        <v>6</v>
      </c>
      <c r="AJ122" t="n">
        <v>12</v>
      </c>
      <c r="AK122" t="n">
        <v>15</v>
      </c>
      <c r="AL122" t="n">
        <v>2</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HYPERLINK("https://creighton-primo.hosted.exlibrisgroup.com/primo-explore/search?tab=default_tab&amp;search_scope=EVERYTHING&amp;vid=01CRU&amp;lang=en_US&amp;offset=0&amp;query=any,contains,991002183859702656","Catalog Record")</f>
        <v/>
      </c>
      <c r="AT122">
        <f>HYPERLINK("http://www.worldcat.org/oclc/28113906","WorldCat Record")</f>
        <v/>
      </c>
      <c r="AU122" t="inlineStr">
        <is>
          <t>30280545:eng</t>
        </is>
      </c>
      <c r="AV122" t="inlineStr">
        <is>
          <t>28113906</t>
        </is>
      </c>
      <c r="AW122" t="inlineStr">
        <is>
          <t>991002183859702656</t>
        </is>
      </c>
      <c r="AX122" t="inlineStr">
        <is>
          <t>991002183859702656</t>
        </is>
      </c>
      <c r="AY122" t="inlineStr">
        <is>
          <t>2256201090002656</t>
        </is>
      </c>
      <c r="AZ122" t="inlineStr">
        <is>
          <t>BOOK</t>
        </is>
      </c>
      <c r="BB122" t="inlineStr">
        <is>
          <t>9780800627270</t>
        </is>
      </c>
      <c r="BC122" t="inlineStr">
        <is>
          <t>32285001875474</t>
        </is>
      </c>
      <c r="BD122" t="inlineStr">
        <is>
          <t>893597117</t>
        </is>
      </c>
    </row>
    <row r="123">
      <c r="A123" t="inlineStr">
        <is>
          <t>No</t>
        </is>
      </c>
      <c r="B123" t="inlineStr">
        <is>
          <t>BV176 .N48</t>
        </is>
      </c>
      <c r="C123" t="inlineStr">
        <is>
          <t>0                      BV 0176000N  48</t>
        </is>
      </c>
      <c r="D123" t="inlineStr">
        <is>
          <t>Learning through liturgy / Gwen Kennedy Neville and John H. Westerhoff, III.</t>
        </is>
      </c>
      <c r="F123" t="inlineStr">
        <is>
          <t>No</t>
        </is>
      </c>
      <c r="G123" t="inlineStr">
        <is>
          <t>1</t>
        </is>
      </c>
      <c r="H123" t="inlineStr">
        <is>
          <t>No</t>
        </is>
      </c>
      <c r="I123" t="inlineStr">
        <is>
          <t>No</t>
        </is>
      </c>
      <c r="J123" t="inlineStr">
        <is>
          <t>0</t>
        </is>
      </c>
      <c r="K123" t="inlineStr">
        <is>
          <t>Neville, Gwen Kennedy, 1938-</t>
        </is>
      </c>
      <c r="L123" t="inlineStr">
        <is>
          <t>New York : Seabury Press, 1978.</t>
        </is>
      </c>
      <c r="M123" t="inlineStr">
        <is>
          <t>1978</t>
        </is>
      </c>
      <c r="O123" t="inlineStr">
        <is>
          <t>eng</t>
        </is>
      </c>
      <c r="P123" t="inlineStr">
        <is>
          <t>nyu</t>
        </is>
      </c>
      <c r="R123" t="inlineStr">
        <is>
          <t xml:space="preserve">BV </t>
        </is>
      </c>
      <c r="S123" t="n">
        <v>2</v>
      </c>
      <c r="T123" t="n">
        <v>2</v>
      </c>
      <c r="U123" t="inlineStr">
        <is>
          <t>1998-07-24</t>
        </is>
      </c>
      <c r="V123" t="inlineStr">
        <is>
          <t>1998-07-24</t>
        </is>
      </c>
      <c r="W123" t="inlineStr">
        <is>
          <t>1991-11-22</t>
        </is>
      </c>
      <c r="X123" t="inlineStr">
        <is>
          <t>1991-11-22</t>
        </is>
      </c>
      <c r="Y123" t="n">
        <v>321</v>
      </c>
      <c r="Z123" t="n">
        <v>263</v>
      </c>
      <c r="AA123" t="n">
        <v>264</v>
      </c>
      <c r="AB123" t="n">
        <v>3</v>
      </c>
      <c r="AC123" t="n">
        <v>3</v>
      </c>
      <c r="AD123" t="n">
        <v>28</v>
      </c>
      <c r="AE123" t="n">
        <v>28</v>
      </c>
      <c r="AF123" t="n">
        <v>8</v>
      </c>
      <c r="AG123" t="n">
        <v>8</v>
      </c>
      <c r="AH123" t="n">
        <v>7</v>
      </c>
      <c r="AI123" t="n">
        <v>7</v>
      </c>
      <c r="AJ123" t="n">
        <v>17</v>
      </c>
      <c r="AK123" t="n">
        <v>17</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HYPERLINK("https://creighton-primo.hosted.exlibrisgroup.com/primo-explore/search?tab=default_tab&amp;search_scope=EVERYTHING&amp;vid=01CRU&amp;lang=en_US&amp;offset=0&amp;query=any,contains,991004563729702656","Catalog Record")</f>
        <v/>
      </c>
      <c r="AT123">
        <f>HYPERLINK("http://www.worldcat.org/oclc/4004025","WorldCat Record")</f>
        <v/>
      </c>
      <c r="AU123" t="inlineStr">
        <is>
          <t>13615553:eng</t>
        </is>
      </c>
      <c r="AV123" t="inlineStr">
        <is>
          <t>4004025</t>
        </is>
      </c>
      <c r="AW123" t="inlineStr">
        <is>
          <t>991004563729702656</t>
        </is>
      </c>
      <c r="AX123" t="inlineStr">
        <is>
          <t>991004563729702656</t>
        </is>
      </c>
      <c r="AY123" t="inlineStr">
        <is>
          <t>2265226290002656</t>
        </is>
      </c>
      <c r="AZ123" t="inlineStr">
        <is>
          <t>BOOK</t>
        </is>
      </c>
      <c r="BB123" t="inlineStr">
        <is>
          <t>9780816404063</t>
        </is>
      </c>
      <c r="BC123" t="inlineStr">
        <is>
          <t>32285000835818</t>
        </is>
      </c>
      <c r="BD123" t="inlineStr">
        <is>
          <t>893807223</t>
        </is>
      </c>
    </row>
    <row r="124">
      <c r="A124" t="inlineStr">
        <is>
          <t>No</t>
        </is>
      </c>
      <c r="B124" t="inlineStr">
        <is>
          <t>BV176 .S24 1978</t>
        </is>
      </c>
      <c r="C124" t="inlineStr">
        <is>
          <t>0                      BV 0176000S  24          1978</t>
        </is>
      </c>
      <c r="D124" t="inlineStr">
        <is>
          <t>Liturgy and symbolism / by Nicholas Sagovsky.</t>
        </is>
      </c>
      <c r="F124" t="inlineStr">
        <is>
          <t>No</t>
        </is>
      </c>
      <c r="G124" t="inlineStr">
        <is>
          <t>1</t>
        </is>
      </c>
      <c r="H124" t="inlineStr">
        <is>
          <t>No</t>
        </is>
      </c>
      <c r="I124" t="inlineStr">
        <is>
          <t>No</t>
        </is>
      </c>
      <c r="J124" t="inlineStr">
        <is>
          <t>0</t>
        </is>
      </c>
      <c r="K124" t="inlineStr">
        <is>
          <t>Sagovsky, Nicholas, 1947-</t>
        </is>
      </c>
      <c r="L124" t="inlineStr">
        <is>
          <t>Bramcote Notts. : Grove Books, 1978.</t>
        </is>
      </c>
      <c r="M124" t="inlineStr">
        <is>
          <t>1978</t>
        </is>
      </c>
      <c r="O124" t="inlineStr">
        <is>
          <t>eng</t>
        </is>
      </c>
      <c r="P124" t="inlineStr">
        <is>
          <t>enk</t>
        </is>
      </c>
      <c r="Q124" t="inlineStr">
        <is>
          <t>Grove liturgical study series ; no. 16 0306-0608</t>
        </is>
      </c>
      <c r="R124" t="inlineStr">
        <is>
          <t xml:space="preserve">BV </t>
        </is>
      </c>
      <c r="S124" t="n">
        <v>4</v>
      </c>
      <c r="T124" t="n">
        <v>4</v>
      </c>
      <c r="U124" t="inlineStr">
        <is>
          <t>1998-07-24</t>
        </is>
      </c>
      <c r="V124" t="inlineStr">
        <is>
          <t>1998-07-24</t>
        </is>
      </c>
      <c r="W124" t="inlineStr">
        <is>
          <t>1991-11-22</t>
        </is>
      </c>
      <c r="X124" t="inlineStr">
        <is>
          <t>1991-11-22</t>
        </is>
      </c>
      <c r="Y124" t="n">
        <v>84</v>
      </c>
      <c r="Z124" t="n">
        <v>45</v>
      </c>
      <c r="AA124" t="n">
        <v>45</v>
      </c>
      <c r="AB124" t="n">
        <v>1</v>
      </c>
      <c r="AC124" t="n">
        <v>1</v>
      </c>
      <c r="AD124" t="n">
        <v>6</v>
      </c>
      <c r="AE124" t="n">
        <v>6</v>
      </c>
      <c r="AF124" t="n">
        <v>0</v>
      </c>
      <c r="AG124" t="n">
        <v>0</v>
      </c>
      <c r="AH124" t="n">
        <v>2</v>
      </c>
      <c r="AI124" t="n">
        <v>2</v>
      </c>
      <c r="AJ124" t="n">
        <v>5</v>
      </c>
      <c r="AK124" t="n">
        <v>5</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HYPERLINK("https://creighton-primo.hosted.exlibrisgroup.com/primo-explore/search?tab=default_tab&amp;search_scope=EVERYTHING&amp;vid=01CRU&amp;lang=en_US&amp;offset=0&amp;query=any,contains,991004732719702656","Catalog Record")</f>
        <v/>
      </c>
      <c r="AT124">
        <f>HYPERLINK("http://www.worldcat.org/oclc/4835742","WorldCat Record")</f>
        <v/>
      </c>
      <c r="AU124" t="inlineStr">
        <is>
          <t>15073244:eng</t>
        </is>
      </c>
      <c r="AV124" t="inlineStr">
        <is>
          <t>4835742</t>
        </is>
      </c>
      <c r="AW124" t="inlineStr">
        <is>
          <t>991004732719702656</t>
        </is>
      </c>
      <c r="AX124" t="inlineStr">
        <is>
          <t>991004732719702656</t>
        </is>
      </c>
      <c r="AY124" t="inlineStr">
        <is>
          <t>2268245370002656</t>
        </is>
      </c>
      <c r="AZ124" t="inlineStr">
        <is>
          <t>BOOK</t>
        </is>
      </c>
      <c r="BB124" t="inlineStr">
        <is>
          <t>9780905422480</t>
        </is>
      </c>
      <c r="BC124" t="inlineStr">
        <is>
          <t>32285000835842</t>
        </is>
      </c>
      <c r="BD124" t="inlineStr">
        <is>
          <t>893694250</t>
        </is>
      </c>
    </row>
    <row r="125">
      <c r="A125" t="inlineStr">
        <is>
          <t>No</t>
        </is>
      </c>
      <c r="B125" t="inlineStr">
        <is>
          <t>BV176 .S45 1983</t>
        </is>
      </c>
      <c r="C125" t="inlineStr">
        <is>
          <t>0                      BV 0176000S  45          1983</t>
        </is>
      </c>
      <c r="D125" t="inlineStr">
        <is>
          <t>Christian worship and its cultural setting / Frank C. Senn.</t>
        </is>
      </c>
      <c r="F125" t="inlineStr">
        <is>
          <t>No</t>
        </is>
      </c>
      <c r="G125" t="inlineStr">
        <is>
          <t>1</t>
        </is>
      </c>
      <c r="H125" t="inlineStr">
        <is>
          <t>No</t>
        </is>
      </c>
      <c r="I125" t="inlineStr">
        <is>
          <t>No</t>
        </is>
      </c>
      <c r="J125" t="inlineStr">
        <is>
          <t>0</t>
        </is>
      </c>
      <c r="K125" t="inlineStr">
        <is>
          <t>Senn, Frank C.</t>
        </is>
      </c>
      <c r="L125" t="inlineStr">
        <is>
          <t>Philadelphia : Fortress Press, c1983.</t>
        </is>
      </c>
      <c r="M125" t="inlineStr">
        <is>
          <t>1983</t>
        </is>
      </c>
      <c r="O125" t="inlineStr">
        <is>
          <t>eng</t>
        </is>
      </c>
      <c r="P125" t="inlineStr">
        <is>
          <t>pau</t>
        </is>
      </c>
      <c r="R125" t="inlineStr">
        <is>
          <t xml:space="preserve">BV </t>
        </is>
      </c>
      <c r="S125" t="n">
        <v>5</v>
      </c>
      <c r="T125" t="n">
        <v>5</v>
      </c>
      <c r="U125" t="inlineStr">
        <is>
          <t>2005-03-03</t>
        </is>
      </c>
      <c r="V125" t="inlineStr">
        <is>
          <t>2005-03-03</t>
        </is>
      </c>
      <c r="W125" t="inlineStr">
        <is>
          <t>1990-08-08</t>
        </is>
      </c>
      <c r="X125" t="inlineStr">
        <is>
          <t>1990-08-08</t>
        </is>
      </c>
      <c r="Y125" t="n">
        <v>255</v>
      </c>
      <c r="Z125" t="n">
        <v>202</v>
      </c>
      <c r="AA125" t="n">
        <v>205</v>
      </c>
      <c r="AB125" t="n">
        <v>1</v>
      </c>
      <c r="AC125" t="n">
        <v>1</v>
      </c>
      <c r="AD125" t="n">
        <v>16</v>
      </c>
      <c r="AE125" t="n">
        <v>16</v>
      </c>
      <c r="AF125" t="n">
        <v>5</v>
      </c>
      <c r="AG125" t="n">
        <v>5</v>
      </c>
      <c r="AH125" t="n">
        <v>5</v>
      </c>
      <c r="AI125" t="n">
        <v>5</v>
      </c>
      <c r="AJ125" t="n">
        <v>9</v>
      </c>
      <c r="AK125" t="n">
        <v>9</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HYPERLINK("https://creighton-primo.hosted.exlibrisgroup.com/primo-explore/search?tab=default_tab&amp;search_scope=EVERYTHING&amp;vid=01CRU&amp;lang=en_US&amp;offset=0&amp;query=any,contains,991000131239702656","Catalog Record")</f>
        <v/>
      </c>
      <c r="AT125">
        <f>HYPERLINK("http://www.worldcat.org/oclc/9111528","WorldCat Record")</f>
        <v/>
      </c>
      <c r="AU125" t="inlineStr">
        <is>
          <t>43074250:eng</t>
        </is>
      </c>
      <c r="AV125" t="inlineStr">
        <is>
          <t>9111528</t>
        </is>
      </c>
      <c r="AW125" t="inlineStr">
        <is>
          <t>991000131239702656</t>
        </is>
      </c>
      <c r="AX125" t="inlineStr">
        <is>
          <t>991000131239702656</t>
        </is>
      </c>
      <c r="AY125" t="inlineStr">
        <is>
          <t>2266821770002656</t>
        </is>
      </c>
      <c r="AZ125" t="inlineStr">
        <is>
          <t>BOOK</t>
        </is>
      </c>
      <c r="BB125" t="inlineStr">
        <is>
          <t>9780800617004</t>
        </is>
      </c>
      <c r="BC125" t="inlineStr">
        <is>
          <t>32285000269919</t>
        </is>
      </c>
      <c r="BD125" t="inlineStr">
        <is>
          <t>893406960</t>
        </is>
      </c>
    </row>
    <row r="126">
      <c r="A126" t="inlineStr">
        <is>
          <t>No</t>
        </is>
      </c>
      <c r="B126" t="inlineStr">
        <is>
          <t>BV176 .S453 2000</t>
        </is>
      </c>
      <c r="C126" t="inlineStr">
        <is>
          <t>0                      BV 0176000S  453         2000</t>
        </is>
      </c>
      <c r="D126" t="inlineStr">
        <is>
          <t>New creation : a liturgical worldview / Frank C. Senn.</t>
        </is>
      </c>
      <c r="F126" t="inlineStr">
        <is>
          <t>No</t>
        </is>
      </c>
      <c r="G126" t="inlineStr">
        <is>
          <t>1</t>
        </is>
      </c>
      <c r="H126" t="inlineStr">
        <is>
          <t>No</t>
        </is>
      </c>
      <c r="I126" t="inlineStr">
        <is>
          <t>No</t>
        </is>
      </c>
      <c r="J126" t="inlineStr">
        <is>
          <t>0</t>
        </is>
      </c>
      <c r="K126" t="inlineStr">
        <is>
          <t>Senn, Frank C.</t>
        </is>
      </c>
      <c r="L126" t="inlineStr">
        <is>
          <t>Minneapolis, MN : Fortress Press, c2000.</t>
        </is>
      </c>
      <c r="M126" t="inlineStr">
        <is>
          <t>2000</t>
        </is>
      </c>
      <c r="O126" t="inlineStr">
        <is>
          <t>eng</t>
        </is>
      </c>
      <c r="P126" t="inlineStr">
        <is>
          <t>mnu</t>
        </is>
      </c>
      <c r="R126" t="inlineStr">
        <is>
          <t xml:space="preserve">BV </t>
        </is>
      </c>
      <c r="S126" t="n">
        <v>9</v>
      </c>
      <c r="T126" t="n">
        <v>9</v>
      </c>
      <c r="U126" t="inlineStr">
        <is>
          <t>2010-04-11</t>
        </is>
      </c>
      <c r="V126" t="inlineStr">
        <is>
          <t>2010-04-11</t>
        </is>
      </c>
      <c r="W126" t="inlineStr">
        <is>
          <t>2001-08-22</t>
        </is>
      </c>
      <c r="X126" t="inlineStr">
        <is>
          <t>2001-08-22</t>
        </is>
      </c>
      <c r="Y126" t="n">
        <v>179</v>
      </c>
      <c r="Z126" t="n">
        <v>139</v>
      </c>
      <c r="AA126" t="n">
        <v>139</v>
      </c>
      <c r="AB126" t="n">
        <v>1</v>
      </c>
      <c r="AC126" t="n">
        <v>1</v>
      </c>
      <c r="AD126" t="n">
        <v>14</v>
      </c>
      <c r="AE126" t="n">
        <v>14</v>
      </c>
      <c r="AF126" t="n">
        <v>6</v>
      </c>
      <c r="AG126" t="n">
        <v>6</v>
      </c>
      <c r="AH126" t="n">
        <v>1</v>
      </c>
      <c r="AI126" t="n">
        <v>1</v>
      </c>
      <c r="AJ126" t="n">
        <v>10</v>
      </c>
      <c r="AK126" t="n">
        <v>10</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HYPERLINK("https://creighton-primo.hosted.exlibrisgroup.com/primo-explore/search?tab=default_tab&amp;search_scope=EVERYTHING&amp;vid=01CRU&amp;lang=en_US&amp;offset=0&amp;query=any,contains,991003575479702656","Catalog Record")</f>
        <v/>
      </c>
      <c r="AT126">
        <f>HYPERLINK("http://www.worldcat.org/oclc/43555310","WorldCat Record")</f>
        <v/>
      </c>
      <c r="AU126" t="inlineStr">
        <is>
          <t>890992730:eng</t>
        </is>
      </c>
      <c r="AV126" t="inlineStr">
        <is>
          <t>43555310</t>
        </is>
      </c>
      <c r="AW126" t="inlineStr">
        <is>
          <t>991003575479702656</t>
        </is>
      </c>
      <c r="AX126" t="inlineStr">
        <is>
          <t>991003575479702656</t>
        </is>
      </c>
      <c r="AY126" t="inlineStr">
        <is>
          <t>2255653310002656</t>
        </is>
      </c>
      <c r="AZ126" t="inlineStr">
        <is>
          <t>BOOK</t>
        </is>
      </c>
      <c r="BB126" t="inlineStr">
        <is>
          <t>9780800632359</t>
        </is>
      </c>
      <c r="BC126" t="inlineStr">
        <is>
          <t>32285004379565</t>
        </is>
      </c>
      <c r="BD126" t="inlineStr">
        <is>
          <t>893228176</t>
        </is>
      </c>
    </row>
    <row r="127">
      <c r="A127" t="inlineStr">
        <is>
          <t>No</t>
        </is>
      </c>
      <c r="B127" t="inlineStr">
        <is>
          <t>BV176 .T68 1978</t>
        </is>
      </c>
      <c r="C127" t="inlineStr">
        <is>
          <t>0                      BV 0176000T  68          1978</t>
        </is>
      </c>
      <c r="D127" t="inlineStr">
        <is>
          <t>Touchstones for liturgical ministers / edited by Virginia Sloyan.</t>
        </is>
      </c>
      <c r="F127" t="inlineStr">
        <is>
          <t>No</t>
        </is>
      </c>
      <c r="G127" t="inlineStr">
        <is>
          <t>1</t>
        </is>
      </c>
      <c r="H127" t="inlineStr">
        <is>
          <t>No</t>
        </is>
      </c>
      <c r="I127" t="inlineStr">
        <is>
          <t>No</t>
        </is>
      </c>
      <c r="J127" t="inlineStr">
        <is>
          <t>0</t>
        </is>
      </c>
      <c r="L127" t="inlineStr">
        <is>
          <t>Washington : The Liturgical Conference and The Federation of Diocesan Liturgical Commissions, c1978.</t>
        </is>
      </c>
      <c r="M127" t="inlineStr">
        <is>
          <t>1978</t>
        </is>
      </c>
      <c r="O127" t="inlineStr">
        <is>
          <t>eng</t>
        </is>
      </c>
      <c r="P127" t="inlineStr">
        <is>
          <t>dcu</t>
        </is>
      </c>
      <c r="R127" t="inlineStr">
        <is>
          <t xml:space="preserve">BV </t>
        </is>
      </c>
      <c r="S127" t="n">
        <v>1</v>
      </c>
      <c r="T127" t="n">
        <v>1</v>
      </c>
      <c r="U127" t="inlineStr">
        <is>
          <t>2005-04-13</t>
        </is>
      </c>
      <c r="V127" t="inlineStr">
        <is>
          <t>2005-04-13</t>
        </is>
      </c>
      <c r="W127" t="inlineStr">
        <is>
          <t>2005-04-13</t>
        </is>
      </c>
      <c r="X127" t="inlineStr">
        <is>
          <t>2005-04-13</t>
        </is>
      </c>
      <c r="Y127" t="n">
        <v>54</v>
      </c>
      <c r="Z127" t="n">
        <v>46</v>
      </c>
      <c r="AA127" t="n">
        <v>46</v>
      </c>
      <c r="AB127" t="n">
        <v>1</v>
      </c>
      <c r="AC127" t="n">
        <v>1</v>
      </c>
      <c r="AD127" t="n">
        <v>6</v>
      </c>
      <c r="AE127" t="n">
        <v>6</v>
      </c>
      <c r="AF127" t="n">
        <v>1</v>
      </c>
      <c r="AG127" t="n">
        <v>1</v>
      </c>
      <c r="AH127" t="n">
        <v>1</v>
      </c>
      <c r="AI127" t="n">
        <v>1</v>
      </c>
      <c r="AJ127" t="n">
        <v>4</v>
      </c>
      <c r="AK127" t="n">
        <v>4</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HYPERLINK("https://creighton-primo.hosted.exlibrisgroup.com/primo-explore/search?tab=default_tab&amp;search_scope=EVERYTHING&amp;vid=01CRU&amp;lang=en_US&amp;offset=0&amp;query=any,contains,991004528359702656","Catalog Record")</f>
        <v/>
      </c>
      <c r="AT127">
        <f>HYPERLINK("http://www.worldcat.org/oclc/5392828","WorldCat Record")</f>
        <v/>
      </c>
      <c r="AU127" t="inlineStr">
        <is>
          <t>5584872136:eng</t>
        </is>
      </c>
      <c r="AV127" t="inlineStr">
        <is>
          <t>5392828</t>
        </is>
      </c>
      <c r="AW127" t="inlineStr">
        <is>
          <t>991004528359702656</t>
        </is>
      </c>
      <c r="AX127" t="inlineStr">
        <is>
          <t>991004528359702656</t>
        </is>
      </c>
      <c r="AY127" t="inlineStr">
        <is>
          <t>2271002780002656</t>
        </is>
      </c>
      <c r="AZ127" t="inlineStr">
        <is>
          <t>BOOK</t>
        </is>
      </c>
      <c r="BB127" t="inlineStr">
        <is>
          <t>9780918208187</t>
        </is>
      </c>
      <c r="BC127" t="inlineStr">
        <is>
          <t>32285005030860</t>
        </is>
      </c>
      <c r="BD127" t="inlineStr">
        <is>
          <t>893788807</t>
        </is>
      </c>
    </row>
    <row r="128">
      <c r="A128" t="inlineStr">
        <is>
          <t>No</t>
        </is>
      </c>
      <c r="B128" t="inlineStr">
        <is>
          <t>BV178 .D49 2001</t>
        </is>
      </c>
      <c r="C128" t="inlineStr">
        <is>
          <t>0                      BV 0178000D  49          2001</t>
        </is>
      </c>
      <c r="D128" t="inlineStr">
        <is>
          <t>Dissident daughters : feminist liturgies in global context / edited by Teresa Berger.</t>
        </is>
      </c>
      <c r="F128" t="inlineStr">
        <is>
          <t>No</t>
        </is>
      </c>
      <c r="G128" t="inlineStr">
        <is>
          <t>1</t>
        </is>
      </c>
      <c r="H128" t="inlineStr">
        <is>
          <t>No</t>
        </is>
      </c>
      <c r="I128" t="inlineStr">
        <is>
          <t>No</t>
        </is>
      </c>
      <c r="J128" t="inlineStr">
        <is>
          <t>0</t>
        </is>
      </c>
      <c r="L128" t="inlineStr">
        <is>
          <t>Louisville, Ky. : Westminster John Knox Press, c2001.</t>
        </is>
      </c>
      <c r="M128" t="inlineStr">
        <is>
          <t>2001</t>
        </is>
      </c>
      <c r="N128" t="inlineStr">
        <is>
          <t>1st ed.</t>
        </is>
      </c>
      <c r="O128" t="inlineStr">
        <is>
          <t>eng</t>
        </is>
      </c>
      <c r="P128" t="inlineStr">
        <is>
          <t>kyu</t>
        </is>
      </c>
      <c r="R128" t="inlineStr">
        <is>
          <t xml:space="preserve">BV </t>
        </is>
      </c>
      <c r="S128" t="n">
        <v>2</v>
      </c>
      <c r="T128" t="n">
        <v>2</v>
      </c>
      <c r="U128" t="inlineStr">
        <is>
          <t>2003-10-08</t>
        </is>
      </c>
      <c r="V128" t="inlineStr">
        <is>
          <t>2003-10-08</t>
        </is>
      </c>
      <c r="W128" t="inlineStr">
        <is>
          <t>2003-10-08</t>
        </is>
      </c>
      <c r="X128" t="inlineStr">
        <is>
          <t>2003-10-08</t>
        </is>
      </c>
      <c r="Y128" t="n">
        <v>232</v>
      </c>
      <c r="Z128" t="n">
        <v>185</v>
      </c>
      <c r="AA128" t="n">
        <v>185</v>
      </c>
      <c r="AB128" t="n">
        <v>3</v>
      </c>
      <c r="AC128" t="n">
        <v>3</v>
      </c>
      <c r="AD128" t="n">
        <v>17</v>
      </c>
      <c r="AE128" t="n">
        <v>17</v>
      </c>
      <c r="AF128" t="n">
        <v>4</v>
      </c>
      <c r="AG128" t="n">
        <v>4</v>
      </c>
      <c r="AH128" t="n">
        <v>5</v>
      </c>
      <c r="AI128" t="n">
        <v>5</v>
      </c>
      <c r="AJ128" t="n">
        <v>11</v>
      </c>
      <c r="AK128" t="n">
        <v>11</v>
      </c>
      <c r="AL128" t="n">
        <v>2</v>
      </c>
      <c r="AM128" t="n">
        <v>2</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HYPERLINK("https://creighton-primo.hosted.exlibrisgroup.com/primo-explore/search?tab=default_tab&amp;search_scope=EVERYTHING&amp;vid=01CRU&amp;lang=en_US&amp;offset=0&amp;query=any,contains,991004115479702656","Catalog Record")</f>
        <v/>
      </c>
      <c r="AT128">
        <f>HYPERLINK("http://www.worldcat.org/oclc/47690481","WorldCat Record")</f>
        <v/>
      </c>
      <c r="AU128" t="inlineStr">
        <is>
          <t>838572909:eng</t>
        </is>
      </c>
      <c r="AV128" t="inlineStr">
        <is>
          <t>47690481</t>
        </is>
      </c>
      <c r="AW128" t="inlineStr">
        <is>
          <t>991004115479702656</t>
        </is>
      </c>
      <c r="AX128" t="inlineStr">
        <is>
          <t>991004115479702656</t>
        </is>
      </c>
      <c r="AY128" t="inlineStr">
        <is>
          <t>2269847500002656</t>
        </is>
      </c>
      <c r="AZ128" t="inlineStr">
        <is>
          <t>BOOK</t>
        </is>
      </c>
      <c r="BB128" t="inlineStr">
        <is>
          <t>9780664223793</t>
        </is>
      </c>
      <c r="BC128" t="inlineStr">
        <is>
          <t>32285004787312</t>
        </is>
      </c>
      <c r="BD128" t="inlineStr">
        <is>
          <t>893512825</t>
        </is>
      </c>
    </row>
    <row r="129">
      <c r="A129" t="inlineStr">
        <is>
          <t>No</t>
        </is>
      </c>
      <c r="B129" t="inlineStr">
        <is>
          <t>BV178 .D5 1945a</t>
        </is>
      </c>
      <c r="C129" t="inlineStr">
        <is>
          <t>0                      BV 0178000D  5           1945a</t>
        </is>
      </c>
      <c r="D129" t="inlineStr">
        <is>
          <t>The shape of the liturgy / by Dom Gregory Dix.</t>
        </is>
      </c>
      <c r="F129" t="inlineStr">
        <is>
          <t>No</t>
        </is>
      </c>
      <c r="G129" t="inlineStr">
        <is>
          <t>1</t>
        </is>
      </c>
      <c r="H129" t="inlineStr">
        <is>
          <t>No</t>
        </is>
      </c>
      <c r="I129" t="inlineStr">
        <is>
          <t>No</t>
        </is>
      </c>
      <c r="J129" t="inlineStr">
        <is>
          <t>0</t>
        </is>
      </c>
      <c r="K129" t="inlineStr">
        <is>
          <t>Dix, Gregory.</t>
        </is>
      </c>
      <c r="L129" t="inlineStr">
        <is>
          <t>Westminster [London] : Dacre press, [1945]</t>
        </is>
      </c>
      <c r="M129" t="inlineStr">
        <is>
          <t>1945</t>
        </is>
      </c>
      <c r="O129" t="inlineStr">
        <is>
          <t>eng</t>
        </is>
      </c>
      <c r="P129" t="inlineStr">
        <is>
          <t>enk</t>
        </is>
      </c>
      <c r="R129" t="inlineStr">
        <is>
          <t xml:space="preserve">BV </t>
        </is>
      </c>
      <c r="S129" t="n">
        <v>4</v>
      </c>
      <c r="T129" t="n">
        <v>4</v>
      </c>
      <c r="U129" t="inlineStr">
        <is>
          <t>1992-11-19</t>
        </is>
      </c>
      <c r="V129" t="inlineStr">
        <is>
          <t>1992-11-19</t>
        </is>
      </c>
      <c r="W129" t="inlineStr">
        <is>
          <t>1991-11-22</t>
        </is>
      </c>
      <c r="X129" t="inlineStr">
        <is>
          <t>1991-11-22</t>
        </is>
      </c>
      <c r="Y129" t="n">
        <v>429</v>
      </c>
      <c r="Z129" t="n">
        <v>373</v>
      </c>
      <c r="AA129" t="n">
        <v>814</v>
      </c>
      <c r="AB129" t="n">
        <v>6</v>
      </c>
      <c r="AC129" t="n">
        <v>7</v>
      </c>
      <c r="AD129" t="n">
        <v>30</v>
      </c>
      <c r="AE129" t="n">
        <v>48</v>
      </c>
      <c r="AF129" t="n">
        <v>10</v>
      </c>
      <c r="AG129" t="n">
        <v>21</v>
      </c>
      <c r="AH129" t="n">
        <v>6</v>
      </c>
      <c r="AI129" t="n">
        <v>9</v>
      </c>
      <c r="AJ129" t="n">
        <v>19</v>
      </c>
      <c r="AK129" t="n">
        <v>26</v>
      </c>
      <c r="AL129" t="n">
        <v>4</v>
      </c>
      <c r="AM129" t="n">
        <v>4</v>
      </c>
      <c r="AN129" t="n">
        <v>0</v>
      </c>
      <c r="AO129" t="n">
        <v>0</v>
      </c>
      <c r="AP129" t="inlineStr">
        <is>
          <t>No</t>
        </is>
      </c>
      <c r="AQ129" t="inlineStr">
        <is>
          <t>Yes</t>
        </is>
      </c>
      <c r="AR129">
        <f>HYPERLINK("http://catalog.hathitrust.org/Record/005779139","HathiTrust Record")</f>
        <v/>
      </c>
      <c r="AS129">
        <f>HYPERLINK("https://creighton-primo.hosted.exlibrisgroup.com/primo-explore/search?tab=default_tab&amp;search_scope=EVERYTHING&amp;vid=01CRU&amp;lang=en_US&amp;offset=0&amp;query=any,contains,991002428489702656","Catalog Record")</f>
        <v/>
      </c>
      <c r="AT129">
        <f>HYPERLINK("http://www.worldcat.org/oclc/345841","WorldCat Record")</f>
        <v/>
      </c>
      <c r="AU129" t="inlineStr">
        <is>
          <t>580273:eng</t>
        </is>
      </c>
      <c r="AV129" t="inlineStr">
        <is>
          <t>345841</t>
        </is>
      </c>
      <c r="AW129" t="inlineStr">
        <is>
          <t>991002428489702656</t>
        </is>
      </c>
      <c r="AX129" t="inlineStr">
        <is>
          <t>991002428489702656</t>
        </is>
      </c>
      <c r="AY129" t="inlineStr">
        <is>
          <t>2272143560002656</t>
        </is>
      </c>
      <c r="AZ129" t="inlineStr">
        <is>
          <t>BOOK</t>
        </is>
      </c>
      <c r="BC129" t="inlineStr">
        <is>
          <t>32285000835909</t>
        </is>
      </c>
      <c r="BD129" t="inlineStr">
        <is>
          <t>893886261</t>
        </is>
      </c>
    </row>
    <row r="130">
      <c r="A130" t="inlineStr">
        <is>
          <t>No</t>
        </is>
      </c>
      <c r="B130" t="inlineStr">
        <is>
          <t>BV178 .O48 1990</t>
        </is>
      </c>
      <c r="C130" t="inlineStr">
        <is>
          <t>0                      BV 0178000O  48          1990</t>
        </is>
      </c>
      <c r="D130" t="inlineStr">
        <is>
          <t>Omnes circumadstantes : contributions towards a history of the role of the people in the liturgy : presented to Herman Wegman on the occasion of his retirement from the chair of history of liturgy and theology in the Katholieke Theologische Universiteit Utrecht / edited by Charles Caspers and Marc Schneiders.</t>
        </is>
      </c>
      <c r="F130" t="inlineStr">
        <is>
          <t>No</t>
        </is>
      </c>
      <c r="G130" t="inlineStr">
        <is>
          <t>1</t>
        </is>
      </c>
      <c r="H130" t="inlineStr">
        <is>
          <t>No</t>
        </is>
      </c>
      <c r="I130" t="inlineStr">
        <is>
          <t>No</t>
        </is>
      </c>
      <c r="J130" t="inlineStr">
        <is>
          <t>0</t>
        </is>
      </c>
      <c r="L130" t="inlineStr">
        <is>
          <t>Kampen : J.H. Kok, 1990.</t>
        </is>
      </c>
      <c r="M130" t="inlineStr">
        <is>
          <t>1990</t>
        </is>
      </c>
      <c r="O130" t="inlineStr">
        <is>
          <t>eng</t>
        </is>
      </c>
      <c r="P130" t="inlineStr">
        <is>
          <t xml:space="preserve">ne </t>
        </is>
      </c>
      <c r="R130" t="inlineStr">
        <is>
          <t xml:space="preserve">BV </t>
        </is>
      </c>
      <c r="S130" t="n">
        <v>5</v>
      </c>
      <c r="T130" t="n">
        <v>5</v>
      </c>
      <c r="U130" t="inlineStr">
        <is>
          <t>2007-06-04</t>
        </is>
      </c>
      <c r="V130" t="inlineStr">
        <is>
          <t>2007-06-04</t>
        </is>
      </c>
      <c r="W130" t="inlineStr">
        <is>
          <t>1991-11-05</t>
        </is>
      </c>
      <c r="X130" t="inlineStr">
        <is>
          <t>1991-11-05</t>
        </is>
      </c>
      <c r="Y130" t="n">
        <v>93</v>
      </c>
      <c r="Z130" t="n">
        <v>56</v>
      </c>
      <c r="AA130" t="n">
        <v>57</v>
      </c>
      <c r="AB130" t="n">
        <v>1</v>
      </c>
      <c r="AC130" t="n">
        <v>1</v>
      </c>
      <c r="AD130" t="n">
        <v>5</v>
      </c>
      <c r="AE130" t="n">
        <v>5</v>
      </c>
      <c r="AF130" t="n">
        <v>0</v>
      </c>
      <c r="AG130" t="n">
        <v>0</v>
      </c>
      <c r="AH130" t="n">
        <v>2</v>
      </c>
      <c r="AI130" t="n">
        <v>2</v>
      </c>
      <c r="AJ130" t="n">
        <v>3</v>
      </c>
      <c r="AK130" t="n">
        <v>3</v>
      </c>
      <c r="AL130" t="n">
        <v>0</v>
      </c>
      <c r="AM130" t="n">
        <v>0</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HYPERLINK("https://creighton-primo.hosted.exlibrisgroup.com/primo-explore/search?tab=default_tab&amp;search_scope=EVERYTHING&amp;vid=01CRU&amp;lang=en_US&amp;offset=0&amp;query=any,contains,991001826219702656","Catalog Record")</f>
        <v/>
      </c>
      <c r="AT130">
        <f>HYPERLINK("http://www.worldcat.org/oclc/22949936","WorldCat Record")</f>
        <v/>
      </c>
      <c r="AU130" t="inlineStr">
        <is>
          <t>908536361:eng</t>
        </is>
      </c>
      <c r="AV130" t="inlineStr">
        <is>
          <t>22949936</t>
        </is>
      </c>
      <c r="AW130" t="inlineStr">
        <is>
          <t>991001826219702656</t>
        </is>
      </c>
      <c r="AX130" t="inlineStr">
        <is>
          <t>991001826219702656</t>
        </is>
      </c>
      <c r="AY130" t="inlineStr">
        <is>
          <t>2267964250002656</t>
        </is>
      </c>
      <c r="AZ130" t="inlineStr">
        <is>
          <t>BOOK</t>
        </is>
      </c>
      <c r="BB130" t="inlineStr">
        <is>
          <t>9789024254422</t>
        </is>
      </c>
      <c r="BC130" t="inlineStr">
        <is>
          <t>32285000729557</t>
        </is>
      </c>
      <c r="BD130" t="inlineStr">
        <is>
          <t>893439476</t>
        </is>
      </c>
    </row>
    <row r="131">
      <c r="A131" t="inlineStr">
        <is>
          <t>No</t>
        </is>
      </c>
      <c r="B131" t="inlineStr">
        <is>
          <t>BV178 .R35 1986</t>
        </is>
      </c>
      <c r="C131" t="inlineStr">
        <is>
          <t>0                      BV 0178000R  35          1986</t>
        </is>
      </c>
      <c r="D131" t="inlineStr">
        <is>
          <t>Christ in sacred speech : the meaning of liturgical language / Gail Ramshaw.</t>
        </is>
      </c>
      <c r="F131" t="inlineStr">
        <is>
          <t>No</t>
        </is>
      </c>
      <c r="G131" t="inlineStr">
        <is>
          <t>1</t>
        </is>
      </c>
      <c r="H131" t="inlineStr">
        <is>
          <t>No</t>
        </is>
      </c>
      <c r="I131" t="inlineStr">
        <is>
          <t>No</t>
        </is>
      </c>
      <c r="J131" t="inlineStr">
        <is>
          <t>0</t>
        </is>
      </c>
      <c r="K131" t="inlineStr">
        <is>
          <t>Ramshaw, Gail, 1947-</t>
        </is>
      </c>
      <c r="L131" t="inlineStr">
        <is>
          <t>Philadelphia : Fortress Press, c1986.</t>
        </is>
      </c>
      <c r="M131" t="inlineStr">
        <is>
          <t>1986</t>
        </is>
      </c>
      <c r="O131" t="inlineStr">
        <is>
          <t>eng</t>
        </is>
      </c>
      <c r="P131" t="inlineStr">
        <is>
          <t>pau</t>
        </is>
      </c>
      <c r="R131" t="inlineStr">
        <is>
          <t xml:space="preserve">BV </t>
        </is>
      </c>
      <c r="S131" t="n">
        <v>6</v>
      </c>
      <c r="T131" t="n">
        <v>6</v>
      </c>
      <c r="U131" t="inlineStr">
        <is>
          <t>2004-10-11</t>
        </is>
      </c>
      <c r="V131" t="inlineStr">
        <is>
          <t>2004-10-11</t>
        </is>
      </c>
      <c r="W131" t="inlineStr">
        <is>
          <t>1995-07-23</t>
        </is>
      </c>
      <c r="X131" t="inlineStr">
        <is>
          <t>1995-07-23</t>
        </is>
      </c>
      <c r="Y131" t="n">
        <v>225</v>
      </c>
      <c r="Z131" t="n">
        <v>179</v>
      </c>
      <c r="AA131" t="n">
        <v>185</v>
      </c>
      <c r="AB131" t="n">
        <v>1</v>
      </c>
      <c r="AC131" t="n">
        <v>1</v>
      </c>
      <c r="AD131" t="n">
        <v>17</v>
      </c>
      <c r="AE131" t="n">
        <v>17</v>
      </c>
      <c r="AF131" t="n">
        <v>4</v>
      </c>
      <c r="AG131" t="n">
        <v>4</v>
      </c>
      <c r="AH131" t="n">
        <v>4</v>
      </c>
      <c r="AI131" t="n">
        <v>4</v>
      </c>
      <c r="AJ131" t="n">
        <v>10</v>
      </c>
      <c r="AK131" t="n">
        <v>10</v>
      </c>
      <c r="AL131" t="n">
        <v>0</v>
      </c>
      <c r="AM131" t="n">
        <v>0</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HYPERLINK("https://creighton-primo.hosted.exlibrisgroup.com/primo-explore/search?tab=default_tab&amp;search_scope=EVERYTHING&amp;vid=01CRU&amp;lang=en_US&amp;offset=0&amp;query=any,contains,991000779259702656","Catalog Record")</f>
        <v/>
      </c>
      <c r="AT131">
        <f>HYPERLINK("http://www.worldcat.org/oclc/13093930","WorldCat Record")</f>
        <v/>
      </c>
      <c r="AU131" t="inlineStr">
        <is>
          <t>5839051:eng</t>
        </is>
      </c>
      <c r="AV131" t="inlineStr">
        <is>
          <t>13093930</t>
        </is>
      </c>
      <c r="AW131" t="inlineStr">
        <is>
          <t>991000779259702656</t>
        </is>
      </c>
      <c r="AX131" t="inlineStr">
        <is>
          <t>991000779259702656</t>
        </is>
      </c>
      <c r="AY131" t="inlineStr">
        <is>
          <t>2269855190002656</t>
        </is>
      </c>
      <c r="AZ131" t="inlineStr">
        <is>
          <t>BOOK</t>
        </is>
      </c>
      <c r="BB131" t="inlineStr">
        <is>
          <t>9780800619077</t>
        </is>
      </c>
      <c r="BC131" t="inlineStr">
        <is>
          <t>32285002075868</t>
        </is>
      </c>
      <c r="BD131" t="inlineStr">
        <is>
          <t>893327583</t>
        </is>
      </c>
    </row>
    <row r="132">
      <c r="A132" t="inlineStr">
        <is>
          <t>No</t>
        </is>
      </c>
      <c r="B132" t="inlineStr">
        <is>
          <t>BV178 .R36 1988</t>
        </is>
      </c>
      <c r="C132" t="inlineStr">
        <is>
          <t>0                      BV 0178000R  36          1988</t>
        </is>
      </c>
      <c r="D132" t="inlineStr">
        <is>
          <t>Worship : searching for language / Gail Ramshaw.</t>
        </is>
      </c>
      <c r="F132" t="inlineStr">
        <is>
          <t>No</t>
        </is>
      </c>
      <c r="G132" t="inlineStr">
        <is>
          <t>1</t>
        </is>
      </c>
      <c r="H132" t="inlineStr">
        <is>
          <t>No</t>
        </is>
      </c>
      <c r="I132" t="inlineStr">
        <is>
          <t>No</t>
        </is>
      </c>
      <c r="J132" t="inlineStr">
        <is>
          <t>0</t>
        </is>
      </c>
      <c r="K132" t="inlineStr">
        <is>
          <t>Ramshaw, Gail, 1947-</t>
        </is>
      </c>
      <c r="L132" t="inlineStr">
        <is>
          <t>Washington, DC : Pastoral Press, c1988.</t>
        </is>
      </c>
      <c r="M132" t="inlineStr">
        <is>
          <t>1988</t>
        </is>
      </c>
      <c r="O132" t="inlineStr">
        <is>
          <t>eng</t>
        </is>
      </c>
      <c r="P132" t="inlineStr">
        <is>
          <t>dcu</t>
        </is>
      </c>
      <c r="R132" t="inlineStr">
        <is>
          <t xml:space="preserve">BV </t>
        </is>
      </c>
      <c r="S132" t="n">
        <v>3</v>
      </c>
      <c r="T132" t="n">
        <v>3</v>
      </c>
      <c r="U132" t="inlineStr">
        <is>
          <t>2004-11-18</t>
        </is>
      </c>
      <c r="V132" t="inlineStr">
        <is>
          <t>2004-11-18</t>
        </is>
      </c>
      <c r="W132" t="inlineStr">
        <is>
          <t>1994-06-08</t>
        </is>
      </c>
      <c r="X132" t="inlineStr">
        <is>
          <t>1994-06-08</t>
        </is>
      </c>
      <c r="Y132" t="n">
        <v>159</v>
      </c>
      <c r="Z132" t="n">
        <v>125</v>
      </c>
      <c r="AA132" t="n">
        <v>126</v>
      </c>
      <c r="AB132" t="n">
        <v>1</v>
      </c>
      <c r="AC132" t="n">
        <v>1</v>
      </c>
      <c r="AD132" t="n">
        <v>11</v>
      </c>
      <c r="AE132" t="n">
        <v>11</v>
      </c>
      <c r="AF132" t="n">
        <v>4</v>
      </c>
      <c r="AG132" t="n">
        <v>4</v>
      </c>
      <c r="AH132" t="n">
        <v>2</v>
      </c>
      <c r="AI132" t="n">
        <v>2</v>
      </c>
      <c r="AJ132" t="n">
        <v>6</v>
      </c>
      <c r="AK132" t="n">
        <v>6</v>
      </c>
      <c r="AL132" t="n">
        <v>0</v>
      </c>
      <c r="AM132" t="n">
        <v>0</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HYPERLINK("https://creighton-primo.hosted.exlibrisgroup.com/primo-explore/search?tab=default_tab&amp;search_scope=EVERYTHING&amp;vid=01CRU&amp;lang=en_US&amp;offset=0&amp;query=any,contains,991001311619702656","Catalog Record")</f>
        <v/>
      </c>
      <c r="AT132">
        <f>HYPERLINK("http://www.worldcat.org/oclc/18155174","WorldCat Record")</f>
        <v/>
      </c>
      <c r="AU132" t="inlineStr">
        <is>
          <t>16375029:eng</t>
        </is>
      </c>
      <c r="AV132" t="inlineStr">
        <is>
          <t>18155174</t>
        </is>
      </c>
      <c r="AW132" t="inlineStr">
        <is>
          <t>991001311619702656</t>
        </is>
      </c>
      <c r="AX132" t="inlineStr">
        <is>
          <t>991001311619702656</t>
        </is>
      </c>
      <c r="AY132" t="inlineStr">
        <is>
          <t>2264154360002656</t>
        </is>
      </c>
      <c r="AZ132" t="inlineStr">
        <is>
          <t>BOOK</t>
        </is>
      </c>
      <c r="BB132" t="inlineStr">
        <is>
          <t>9780912405490</t>
        </is>
      </c>
      <c r="BC132" t="inlineStr">
        <is>
          <t>32285001922243</t>
        </is>
      </c>
      <c r="BD132" t="inlineStr">
        <is>
          <t>893334244</t>
        </is>
      </c>
    </row>
    <row r="133">
      <c r="A133" t="inlineStr">
        <is>
          <t>No</t>
        </is>
      </c>
      <c r="B133" t="inlineStr">
        <is>
          <t>BV178 .S3613 1988</t>
        </is>
      </c>
      <c r="C133" t="inlineStr">
        <is>
          <t>0                      BV 0178000S  3613        1988</t>
        </is>
      </c>
      <c r="D133" t="inlineStr">
        <is>
          <t>The relationship between the Church and the theatre : exemplified by selected writings of the Church fathers and by liturgical texts until Amalarius of Metz, 775-852 A. D. / Christine Catharina Schnusenberg.</t>
        </is>
      </c>
      <c r="F133" t="inlineStr">
        <is>
          <t>No</t>
        </is>
      </c>
      <c r="G133" t="inlineStr">
        <is>
          <t>1</t>
        </is>
      </c>
      <c r="H133" t="inlineStr">
        <is>
          <t>No</t>
        </is>
      </c>
      <c r="I133" t="inlineStr">
        <is>
          <t>No</t>
        </is>
      </c>
      <c r="J133" t="inlineStr">
        <is>
          <t>0</t>
        </is>
      </c>
      <c r="K133" t="inlineStr">
        <is>
          <t>Schnusenberg, Christine.</t>
        </is>
      </c>
      <c r="L133" t="inlineStr">
        <is>
          <t>Lanham, MD : University Press of America, c1988.</t>
        </is>
      </c>
      <c r="M133" t="inlineStr">
        <is>
          <t>1988</t>
        </is>
      </c>
      <c r="O133" t="inlineStr">
        <is>
          <t>eng</t>
        </is>
      </c>
      <c r="P133" t="inlineStr">
        <is>
          <t>mdu</t>
        </is>
      </c>
      <c r="R133" t="inlineStr">
        <is>
          <t xml:space="preserve">BV </t>
        </is>
      </c>
      <c r="S133" t="n">
        <v>2</v>
      </c>
      <c r="T133" t="n">
        <v>2</v>
      </c>
      <c r="U133" t="inlineStr">
        <is>
          <t>2005-10-11</t>
        </is>
      </c>
      <c r="V133" t="inlineStr">
        <is>
          <t>2005-10-11</t>
        </is>
      </c>
      <c r="W133" t="inlineStr">
        <is>
          <t>1991-11-22</t>
        </is>
      </c>
      <c r="X133" t="inlineStr">
        <is>
          <t>1991-11-22</t>
        </is>
      </c>
      <c r="Y133" t="n">
        <v>238</v>
      </c>
      <c r="Z133" t="n">
        <v>207</v>
      </c>
      <c r="AA133" t="n">
        <v>212</v>
      </c>
      <c r="AB133" t="n">
        <v>2</v>
      </c>
      <c r="AC133" t="n">
        <v>2</v>
      </c>
      <c r="AD133" t="n">
        <v>18</v>
      </c>
      <c r="AE133" t="n">
        <v>18</v>
      </c>
      <c r="AF133" t="n">
        <v>6</v>
      </c>
      <c r="AG133" t="n">
        <v>6</v>
      </c>
      <c r="AH133" t="n">
        <v>5</v>
      </c>
      <c r="AI133" t="n">
        <v>5</v>
      </c>
      <c r="AJ133" t="n">
        <v>12</v>
      </c>
      <c r="AK133" t="n">
        <v>12</v>
      </c>
      <c r="AL133" t="n">
        <v>1</v>
      </c>
      <c r="AM133" t="n">
        <v>1</v>
      </c>
      <c r="AN133" t="n">
        <v>0</v>
      </c>
      <c r="AO133" t="n">
        <v>0</v>
      </c>
      <c r="AP133" t="inlineStr">
        <is>
          <t>No</t>
        </is>
      </c>
      <c r="AQ133" t="inlineStr">
        <is>
          <t>Yes</t>
        </is>
      </c>
      <c r="AR133">
        <f>HYPERLINK("http://catalog.hathitrust.org/Record/000923986","HathiTrust Record")</f>
        <v/>
      </c>
      <c r="AS133">
        <f>HYPERLINK("https://creighton-primo.hosted.exlibrisgroup.com/primo-explore/search?tab=default_tab&amp;search_scope=EVERYTHING&amp;vid=01CRU&amp;lang=en_US&amp;offset=0&amp;query=any,contains,991000931679702656","Catalog Record")</f>
        <v/>
      </c>
      <c r="AT133">
        <f>HYPERLINK("http://www.worldcat.org/oclc/14272760","WorldCat Record")</f>
        <v/>
      </c>
      <c r="AU133" t="inlineStr">
        <is>
          <t>10792996183:eng</t>
        </is>
      </c>
      <c r="AV133" t="inlineStr">
        <is>
          <t>14272760</t>
        </is>
      </c>
      <c r="AW133" t="inlineStr">
        <is>
          <t>991000931679702656</t>
        </is>
      </c>
      <c r="AX133" t="inlineStr">
        <is>
          <t>991000931679702656</t>
        </is>
      </c>
      <c r="AY133" t="inlineStr">
        <is>
          <t>2261317900002656</t>
        </is>
      </c>
      <c r="AZ133" t="inlineStr">
        <is>
          <t>BOOK</t>
        </is>
      </c>
      <c r="BB133" t="inlineStr">
        <is>
          <t>9780819157331</t>
        </is>
      </c>
      <c r="BC133" t="inlineStr">
        <is>
          <t>32285000835933</t>
        </is>
      </c>
      <c r="BD133" t="inlineStr">
        <is>
          <t>893803180</t>
        </is>
      </c>
    </row>
    <row r="134">
      <c r="A134" t="inlineStr">
        <is>
          <t>No</t>
        </is>
      </c>
      <c r="B134" t="inlineStr">
        <is>
          <t>BV185 .C33 1989</t>
        </is>
      </c>
      <c r="C134" t="inlineStr">
        <is>
          <t>0                      BV 0185000C  33          1989</t>
        </is>
      </c>
      <c r="D134" t="inlineStr">
        <is>
          <t>Pattern in early Christian worship / Allen Cabaniss.</t>
        </is>
      </c>
      <c r="F134" t="inlineStr">
        <is>
          <t>No</t>
        </is>
      </c>
      <c r="G134" t="inlineStr">
        <is>
          <t>1</t>
        </is>
      </c>
      <c r="H134" t="inlineStr">
        <is>
          <t>No</t>
        </is>
      </c>
      <c r="I134" t="inlineStr">
        <is>
          <t>No</t>
        </is>
      </c>
      <c r="J134" t="inlineStr">
        <is>
          <t>0</t>
        </is>
      </c>
      <c r="K134" t="inlineStr">
        <is>
          <t>Cabaniss, Allen, 1911-1997.</t>
        </is>
      </c>
      <c r="L134" t="inlineStr">
        <is>
          <t>Macon, Ga. : Mercer University Press, c1989.</t>
        </is>
      </c>
      <c r="M134" t="inlineStr">
        <is>
          <t>1989</t>
        </is>
      </c>
      <c r="O134" t="inlineStr">
        <is>
          <t>eng</t>
        </is>
      </c>
      <c r="P134" t="inlineStr">
        <is>
          <t>gau</t>
        </is>
      </c>
      <c r="R134" t="inlineStr">
        <is>
          <t xml:space="preserve">BV </t>
        </is>
      </c>
      <c r="S134" t="n">
        <v>7</v>
      </c>
      <c r="T134" t="n">
        <v>7</v>
      </c>
      <c r="U134" t="inlineStr">
        <is>
          <t>2010-04-12</t>
        </is>
      </c>
      <c r="V134" t="inlineStr">
        <is>
          <t>2010-04-12</t>
        </is>
      </c>
      <c r="W134" t="inlineStr">
        <is>
          <t>1990-01-30</t>
        </is>
      </c>
      <c r="X134" t="inlineStr">
        <is>
          <t>1990-01-30</t>
        </is>
      </c>
      <c r="Y134" t="n">
        <v>291</v>
      </c>
      <c r="Z134" t="n">
        <v>248</v>
      </c>
      <c r="AA134" t="n">
        <v>252</v>
      </c>
      <c r="AB134" t="n">
        <v>1</v>
      </c>
      <c r="AC134" t="n">
        <v>1</v>
      </c>
      <c r="AD134" t="n">
        <v>16</v>
      </c>
      <c r="AE134" t="n">
        <v>16</v>
      </c>
      <c r="AF134" t="n">
        <v>6</v>
      </c>
      <c r="AG134" t="n">
        <v>6</v>
      </c>
      <c r="AH134" t="n">
        <v>5</v>
      </c>
      <c r="AI134" t="n">
        <v>5</v>
      </c>
      <c r="AJ134" t="n">
        <v>10</v>
      </c>
      <c r="AK134" t="n">
        <v>10</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HYPERLINK("https://creighton-primo.hosted.exlibrisgroup.com/primo-explore/search?tab=default_tab&amp;search_scope=EVERYTHING&amp;vid=01CRU&amp;lang=en_US&amp;offset=0&amp;query=any,contains,991001443789702656","Catalog Record")</f>
        <v/>
      </c>
      <c r="AT134">
        <f>HYPERLINK("http://www.worldcat.org/oclc/19266467","WorldCat Record")</f>
        <v/>
      </c>
      <c r="AU134" t="inlineStr">
        <is>
          <t>5419073:eng</t>
        </is>
      </c>
      <c r="AV134" t="inlineStr">
        <is>
          <t>19266467</t>
        </is>
      </c>
      <c r="AW134" t="inlineStr">
        <is>
          <t>991001443789702656</t>
        </is>
      </c>
      <c r="AX134" t="inlineStr">
        <is>
          <t>991001443789702656</t>
        </is>
      </c>
      <c r="AY134" t="inlineStr">
        <is>
          <t>2264476990002656</t>
        </is>
      </c>
      <c r="AZ134" t="inlineStr">
        <is>
          <t>BOOK</t>
        </is>
      </c>
      <c r="BB134" t="inlineStr">
        <is>
          <t>9780865543454</t>
        </is>
      </c>
      <c r="BC134" t="inlineStr">
        <is>
          <t>32285000036003</t>
        </is>
      </c>
      <c r="BD134" t="inlineStr">
        <is>
          <t>893903422</t>
        </is>
      </c>
    </row>
    <row r="135">
      <c r="A135" t="inlineStr">
        <is>
          <t>No</t>
        </is>
      </c>
      <c r="B135" t="inlineStr">
        <is>
          <t>BV185 .D4 1967</t>
        </is>
      </c>
      <c r="C135" t="inlineStr">
        <is>
          <t>0                      BV 0185000D  4           1967</t>
        </is>
      </c>
      <c r="D135" t="inlineStr">
        <is>
          <t>Early sources of the liturgy / Translated by Benet Weatherhead.</t>
        </is>
      </c>
      <c r="F135" t="inlineStr">
        <is>
          <t>No</t>
        </is>
      </c>
      <c r="G135" t="inlineStr">
        <is>
          <t>1</t>
        </is>
      </c>
      <c r="H135" t="inlineStr">
        <is>
          <t>No</t>
        </is>
      </c>
      <c r="I135" t="inlineStr">
        <is>
          <t>No</t>
        </is>
      </c>
      <c r="J135" t="inlineStr">
        <is>
          <t>0</t>
        </is>
      </c>
      <c r="K135" t="inlineStr">
        <is>
          <t>Deiss, Lucien.</t>
        </is>
      </c>
      <c r="L135" t="inlineStr">
        <is>
          <t>Staten Island, N.Y. : Alba House, [1967]</t>
        </is>
      </c>
      <c r="M135" t="inlineStr">
        <is>
          <t>1967</t>
        </is>
      </c>
      <c r="O135" t="inlineStr">
        <is>
          <t>eng</t>
        </is>
      </c>
      <c r="P135" t="inlineStr">
        <is>
          <t>nyu</t>
        </is>
      </c>
      <c r="R135" t="inlineStr">
        <is>
          <t xml:space="preserve">BV </t>
        </is>
      </c>
      <c r="S135" t="n">
        <v>6</v>
      </c>
      <c r="T135" t="n">
        <v>6</v>
      </c>
      <c r="U135" t="inlineStr">
        <is>
          <t>1995-02-19</t>
        </is>
      </c>
      <c r="V135" t="inlineStr">
        <is>
          <t>1995-02-19</t>
        </is>
      </c>
      <c r="W135" t="inlineStr">
        <is>
          <t>1991-11-22</t>
        </is>
      </c>
      <c r="X135" t="inlineStr">
        <is>
          <t>1991-11-22</t>
        </is>
      </c>
      <c r="Y135" t="n">
        <v>228</v>
      </c>
      <c r="Z135" t="n">
        <v>203</v>
      </c>
      <c r="AA135" t="n">
        <v>261</v>
      </c>
      <c r="AB135" t="n">
        <v>2</v>
      </c>
      <c r="AC135" t="n">
        <v>3</v>
      </c>
      <c r="AD135" t="n">
        <v>27</v>
      </c>
      <c r="AE135" t="n">
        <v>31</v>
      </c>
      <c r="AF135" t="n">
        <v>10</v>
      </c>
      <c r="AG135" t="n">
        <v>11</v>
      </c>
      <c r="AH135" t="n">
        <v>8</v>
      </c>
      <c r="AI135" t="n">
        <v>9</v>
      </c>
      <c r="AJ135" t="n">
        <v>17</v>
      </c>
      <c r="AK135" t="n">
        <v>21</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HYPERLINK("https://creighton-primo.hosted.exlibrisgroup.com/primo-explore/search?tab=default_tab&amp;search_scope=EVERYTHING&amp;vid=01CRU&amp;lang=en_US&amp;offset=0&amp;query=any,contains,991003559279702656","Catalog Record")</f>
        <v/>
      </c>
      <c r="AT135">
        <f>HYPERLINK("http://www.worldcat.org/oclc/1129393","WorldCat Record")</f>
        <v/>
      </c>
      <c r="AU135" t="inlineStr">
        <is>
          <t>4915389787:eng</t>
        </is>
      </c>
      <c r="AV135" t="inlineStr">
        <is>
          <t>1129393</t>
        </is>
      </c>
      <c r="AW135" t="inlineStr">
        <is>
          <t>991003559279702656</t>
        </is>
      </c>
      <c r="AX135" t="inlineStr">
        <is>
          <t>991003559279702656</t>
        </is>
      </c>
      <c r="AY135" t="inlineStr">
        <is>
          <t>2272367230002656</t>
        </is>
      </c>
      <c r="AZ135" t="inlineStr">
        <is>
          <t>BOOK</t>
        </is>
      </c>
      <c r="BC135" t="inlineStr">
        <is>
          <t>32285000835982</t>
        </is>
      </c>
      <c r="BD135" t="inlineStr">
        <is>
          <t>893428923</t>
        </is>
      </c>
    </row>
    <row r="136">
      <c r="A136" t="inlineStr">
        <is>
          <t>No</t>
        </is>
      </c>
      <c r="B136" t="inlineStr">
        <is>
          <t>BV185 .J8313 1965</t>
        </is>
      </c>
      <c r="C136" t="inlineStr">
        <is>
          <t>0                      BV 0185000J  8313        1965</t>
        </is>
      </c>
      <c r="D136" t="inlineStr">
        <is>
          <t>The place of Christ in liturgical prayer / [by] Joseph Jungmann. Translated by A. Peeler.</t>
        </is>
      </c>
      <c r="F136" t="inlineStr">
        <is>
          <t>No</t>
        </is>
      </c>
      <c r="G136" t="inlineStr">
        <is>
          <t>1</t>
        </is>
      </c>
      <c r="H136" t="inlineStr">
        <is>
          <t>No</t>
        </is>
      </c>
      <c r="I136" t="inlineStr">
        <is>
          <t>No</t>
        </is>
      </c>
      <c r="J136" t="inlineStr">
        <is>
          <t>0</t>
        </is>
      </c>
      <c r="K136" t="inlineStr">
        <is>
          <t>Jungmann, Josef A. (Josef Andreas), 1889-1975.</t>
        </is>
      </c>
      <c r="L136" t="inlineStr">
        <is>
          <t>Staten Island, N.Y. : Alba House, [c1965]</t>
        </is>
      </c>
      <c r="M136" t="inlineStr">
        <is>
          <t>1965</t>
        </is>
      </c>
      <c r="N136" t="inlineStr">
        <is>
          <t>2d rev. ed.</t>
        </is>
      </c>
      <c r="O136" t="inlineStr">
        <is>
          <t>eng</t>
        </is>
      </c>
      <c r="P136" t="inlineStr">
        <is>
          <t>nyu</t>
        </is>
      </c>
      <c r="R136" t="inlineStr">
        <is>
          <t xml:space="preserve">BV </t>
        </is>
      </c>
      <c r="S136" t="n">
        <v>3</v>
      </c>
      <c r="T136" t="n">
        <v>3</v>
      </c>
      <c r="U136" t="inlineStr">
        <is>
          <t>2007-10-15</t>
        </is>
      </c>
      <c r="V136" t="inlineStr">
        <is>
          <t>2007-10-15</t>
        </is>
      </c>
      <c r="W136" t="inlineStr">
        <is>
          <t>1991-11-22</t>
        </is>
      </c>
      <c r="X136" t="inlineStr">
        <is>
          <t>1991-11-22</t>
        </is>
      </c>
      <c r="Y136" t="n">
        <v>226</v>
      </c>
      <c r="Z136" t="n">
        <v>204</v>
      </c>
      <c r="AA136" t="n">
        <v>286</v>
      </c>
      <c r="AB136" t="n">
        <v>3</v>
      </c>
      <c r="AC136" t="n">
        <v>3</v>
      </c>
      <c r="AD136" t="n">
        <v>29</v>
      </c>
      <c r="AE136" t="n">
        <v>33</v>
      </c>
      <c r="AF136" t="n">
        <v>12</v>
      </c>
      <c r="AG136" t="n">
        <v>14</v>
      </c>
      <c r="AH136" t="n">
        <v>5</v>
      </c>
      <c r="AI136" t="n">
        <v>7</v>
      </c>
      <c r="AJ136" t="n">
        <v>21</v>
      </c>
      <c r="AK136" t="n">
        <v>22</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HYPERLINK("https://creighton-primo.hosted.exlibrisgroup.com/primo-explore/search?tab=default_tab&amp;search_scope=EVERYTHING&amp;vid=01CRU&amp;lang=en_US&amp;offset=0&amp;query=any,contains,991003571379702656","Catalog Record")</f>
        <v/>
      </c>
      <c r="AT136">
        <f>HYPERLINK("http://www.worldcat.org/oclc/1146537","WorldCat Record")</f>
        <v/>
      </c>
      <c r="AU136" t="inlineStr">
        <is>
          <t>23174260:eng</t>
        </is>
      </c>
      <c r="AV136" t="inlineStr">
        <is>
          <t>1146537</t>
        </is>
      </c>
      <c r="AW136" t="inlineStr">
        <is>
          <t>991003571379702656</t>
        </is>
      </c>
      <c r="AX136" t="inlineStr">
        <is>
          <t>991003571379702656</t>
        </is>
      </c>
      <c r="AY136" t="inlineStr">
        <is>
          <t>2261925130002656</t>
        </is>
      </c>
      <c r="AZ136" t="inlineStr">
        <is>
          <t>BOOK</t>
        </is>
      </c>
      <c r="BC136" t="inlineStr">
        <is>
          <t>32285000836014</t>
        </is>
      </c>
      <c r="BD136" t="inlineStr">
        <is>
          <t>893893862</t>
        </is>
      </c>
    </row>
    <row r="137">
      <c r="A137" t="inlineStr">
        <is>
          <t>No</t>
        </is>
      </c>
      <c r="B137" t="inlineStr">
        <is>
          <t>BV185 .L5 1982</t>
        </is>
      </c>
      <c r="C137" t="inlineStr">
        <is>
          <t>0                      BV 0185000L  5           1982</t>
        </is>
      </c>
      <c r="D137" t="inlineStr">
        <is>
          <t>The Liturgical portions of the Didascalia / translation and textual intro. by Sebastian Brock ; selection and general intro. by Michael Vasey.</t>
        </is>
      </c>
      <c r="F137" t="inlineStr">
        <is>
          <t>No</t>
        </is>
      </c>
      <c r="G137" t="inlineStr">
        <is>
          <t>1</t>
        </is>
      </c>
      <c r="H137" t="inlineStr">
        <is>
          <t>No</t>
        </is>
      </c>
      <c r="I137" t="inlineStr">
        <is>
          <t>No</t>
        </is>
      </c>
      <c r="J137" t="inlineStr">
        <is>
          <t>0</t>
        </is>
      </c>
      <c r="L137" t="inlineStr">
        <is>
          <t>Bramcote, Nottingham : Grove Books, 1982.</t>
        </is>
      </c>
      <c r="M137" t="inlineStr">
        <is>
          <t>1982</t>
        </is>
      </c>
      <c r="O137" t="inlineStr">
        <is>
          <t>eng</t>
        </is>
      </c>
      <c r="P137" t="inlineStr">
        <is>
          <t>enk</t>
        </is>
      </c>
      <c r="Q137" t="inlineStr">
        <is>
          <t>Grove liturgical study ; no. 29</t>
        </is>
      </c>
      <c r="R137" t="inlineStr">
        <is>
          <t xml:space="preserve">BV </t>
        </is>
      </c>
      <c r="S137" t="n">
        <v>2</v>
      </c>
      <c r="T137" t="n">
        <v>2</v>
      </c>
      <c r="U137" t="inlineStr">
        <is>
          <t>2000-09-18</t>
        </is>
      </c>
      <c r="V137" t="inlineStr">
        <is>
          <t>2000-09-18</t>
        </is>
      </c>
      <c r="W137" t="inlineStr">
        <is>
          <t>1991-11-22</t>
        </is>
      </c>
      <c r="X137" t="inlineStr">
        <is>
          <t>1991-11-22</t>
        </is>
      </c>
      <c r="Y137" t="n">
        <v>101</v>
      </c>
      <c r="Z137" t="n">
        <v>56</v>
      </c>
      <c r="AA137" t="n">
        <v>58</v>
      </c>
      <c r="AB137" t="n">
        <v>1</v>
      </c>
      <c r="AC137" t="n">
        <v>1</v>
      </c>
      <c r="AD137" t="n">
        <v>6</v>
      </c>
      <c r="AE137" t="n">
        <v>6</v>
      </c>
      <c r="AF137" t="n">
        <v>1</v>
      </c>
      <c r="AG137" t="n">
        <v>1</v>
      </c>
      <c r="AH137" t="n">
        <v>3</v>
      </c>
      <c r="AI137" t="n">
        <v>3</v>
      </c>
      <c r="AJ137" t="n">
        <v>3</v>
      </c>
      <c r="AK137" t="n">
        <v>3</v>
      </c>
      <c r="AL137" t="n">
        <v>0</v>
      </c>
      <c r="AM137" t="n">
        <v>0</v>
      </c>
      <c r="AN137" t="n">
        <v>0</v>
      </c>
      <c r="AO137" t="n">
        <v>0</v>
      </c>
      <c r="AP137" t="inlineStr">
        <is>
          <t>No</t>
        </is>
      </c>
      <c r="AQ137" t="inlineStr">
        <is>
          <t>Yes</t>
        </is>
      </c>
      <c r="AR137">
        <f>HYPERLINK("http://catalog.hathitrust.org/Record/102062905","HathiTrust Record")</f>
        <v/>
      </c>
      <c r="AS137">
        <f>HYPERLINK("https://creighton-primo.hosted.exlibrisgroup.com/primo-explore/search?tab=default_tab&amp;search_scope=EVERYTHING&amp;vid=01CRU&amp;lang=en_US&amp;offset=0&amp;query=any,contains,991000314379702656","Catalog Record")</f>
        <v/>
      </c>
      <c r="AT137">
        <f>HYPERLINK("http://www.worldcat.org/oclc/16596140","WorldCat Record")</f>
        <v/>
      </c>
      <c r="AU137" t="inlineStr">
        <is>
          <t>366745273:eng</t>
        </is>
      </c>
      <c r="AV137" t="inlineStr">
        <is>
          <t>16596140</t>
        </is>
      </c>
      <c r="AW137" t="inlineStr">
        <is>
          <t>991000314379702656</t>
        </is>
      </c>
      <c r="AX137" t="inlineStr">
        <is>
          <t>991000314379702656</t>
        </is>
      </c>
      <c r="AY137" t="inlineStr">
        <is>
          <t>2261677550002656</t>
        </is>
      </c>
      <c r="AZ137" t="inlineStr">
        <is>
          <t>BOOK</t>
        </is>
      </c>
      <c r="BB137" t="inlineStr">
        <is>
          <t>9780907536192</t>
        </is>
      </c>
      <c r="BC137" t="inlineStr">
        <is>
          <t>32285000836022</t>
        </is>
      </c>
      <c r="BD137" t="inlineStr">
        <is>
          <t>893877941</t>
        </is>
      </c>
    </row>
    <row r="138">
      <c r="A138" t="inlineStr">
        <is>
          <t>No</t>
        </is>
      </c>
      <c r="B138" t="inlineStr">
        <is>
          <t>BV185 .O4 1965</t>
        </is>
      </c>
      <c r="C138" t="inlineStr">
        <is>
          <t>0                      BV 0185000O  4           1965</t>
        </is>
      </c>
      <c r="D138" t="inlineStr">
        <is>
          <t>The Jewish background of the Christian liturgy / by W. O. E. Oesterley.</t>
        </is>
      </c>
      <c r="F138" t="inlineStr">
        <is>
          <t>No</t>
        </is>
      </c>
      <c r="G138" t="inlineStr">
        <is>
          <t>1</t>
        </is>
      </c>
      <c r="H138" t="inlineStr">
        <is>
          <t>No</t>
        </is>
      </c>
      <c r="I138" t="inlineStr">
        <is>
          <t>No</t>
        </is>
      </c>
      <c r="J138" t="inlineStr">
        <is>
          <t>0</t>
        </is>
      </c>
      <c r="K138" t="inlineStr">
        <is>
          <t>Oesterley, W. O. E. (William Oscar Emil), 1866-1950.</t>
        </is>
      </c>
      <c r="L138" t="inlineStr">
        <is>
          <t>Gloucester, Mass. : P. Smith, 1965.</t>
        </is>
      </c>
      <c r="M138" t="inlineStr">
        <is>
          <t>1965</t>
        </is>
      </c>
      <c r="O138" t="inlineStr">
        <is>
          <t>eng</t>
        </is>
      </c>
      <c r="P138" t="inlineStr">
        <is>
          <t>mau</t>
        </is>
      </c>
      <c r="R138" t="inlineStr">
        <is>
          <t xml:space="preserve">BV </t>
        </is>
      </c>
      <c r="S138" t="n">
        <v>9</v>
      </c>
      <c r="T138" t="n">
        <v>9</v>
      </c>
      <c r="U138" t="inlineStr">
        <is>
          <t>2004-11-18</t>
        </is>
      </c>
      <c r="V138" t="inlineStr">
        <is>
          <t>2004-11-18</t>
        </is>
      </c>
      <c r="W138" t="inlineStr">
        <is>
          <t>1993-07-29</t>
        </is>
      </c>
      <c r="X138" t="inlineStr">
        <is>
          <t>1993-07-29</t>
        </is>
      </c>
      <c r="Y138" t="n">
        <v>330</v>
      </c>
      <c r="Z138" t="n">
        <v>305</v>
      </c>
      <c r="AA138" t="n">
        <v>405</v>
      </c>
      <c r="AB138" t="n">
        <v>5</v>
      </c>
      <c r="AC138" t="n">
        <v>5</v>
      </c>
      <c r="AD138" t="n">
        <v>21</v>
      </c>
      <c r="AE138" t="n">
        <v>24</v>
      </c>
      <c r="AF138" t="n">
        <v>8</v>
      </c>
      <c r="AG138" t="n">
        <v>9</v>
      </c>
      <c r="AH138" t="n">
        <v>5</v>
      </c>
      <c r="AI138" t="n">
        <v>8</v>
      </c>
      <c r="AJ138" t="n">
        <v>10</v>
      </c>
      <c r="AK138" t="n">
        <v>11</v>
      </c>
      <c r="AL138" t="n">
        <v>3</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HYPERLINK("https://creighton-primo.hosted.exlibrisgroup.com/primo-explore/search?tab=default_tab&amp;search_scope=EVERYTHING&amp;vid=01CRU&amp;lang=en_US&amp;offset=0&amp;query=any,contains,991003058989702656","Catalog Record")</f>
        <v/>
      </c>
      <c r="AT138">
        <f>HYPERLINK("http://www.worldcat.org/oclc/616881","WorldCat Record")</f>
        <v/>
      </c>
      <c r="AU138" t="inlineStr">
        <is>
          <t>1670349:eng</t>
        </is>
      </c>
      <c r="AV138" t="inlineStr">
        <is>
          <t>616881</t>
        </is>
      </c>
      <c r="AW138" t="inlineStr">
        <is>
          <t>991003058989702656</t>
        </is>
      </c>
      <c r="AX138" t="inlineStr">
        <is>
          <t>991003058989702656</t>
        </is>
      </c>
      <c r="AY138" t="inlineStr">
        <is>
          <t>2269318180002656</t>
        </is>
      </c>
      <c r="AZ138" t="inlineStr">
        <is>
          <t>BOOK</t>
        </is>
      </c>
      <c r="BC138" t="inlineStr">
        <is>
          <t>32285001704070</t>
        </is>
      </c>
      <c r="BD138" t="inlineStr">
        <is>
          <t>893805388</t>
        </is>
      </c>
    </row>
    <row r="139">
      <c r="A139" t="inlineStr">
        <is>
          <t>No</t>
        </is>
      </c>
      <c r="B139" t="inlineStr">
        <is>
          <t>BV185 .P67 1967</t>
        </is>
      </c>
      <c r="C139" t="inlineStr">
        <is>
          <t>0                      BV 0185000P  67          1967</t>
        </is>
      </c>
      <c r="D139" t="inlineStr">
        <is>
          <t>The ordination prayers of the ancient western churches / H.B. Porter, Jr.</t>
        </is>
      </c>
      <c r="F139" t="inlineStr">
        <is>
          <t>No</t>
        </is>
      </c>
      <c r="G139" t="inlineStr">
        <is>
          <t>1</t>
        </is>
      </c>
      <c r="H139" t="inlineStr">
        <is>
          <t>No</t>
        </is>
      </c>
      <c r="I139" t="inlineStr">
        <is>
          <t>No</t>
        </is>
      </c>
      <c r="J139" t="inlineStr">
        <is>
          <t>0</t>
        </is>
      </c>
      <c r="K139" t="inlineStr">
        <is>
          <t>Porter, Harry Boone, 1923-</t>
        </is>
      </c>
      <c r="L139" t="inlineStr">
        <is>
          <t>London : S.P.C.K., 1967.</t>
        </is>
      </c>
      <c r="M139" t="inlineStr">
        <is>
          <t>1967</t>
        </is>
      </c>
      <c r="O139" t="inlineStr">
        <is>
          <t>eng</t>
        </is>
      </c>
      <c r="P139" t="inlineStr">
        <is>
          <t>___</t>
        </is>
      </c>
      <c r="Q139" t="inlineStr">
        <is>
          <t>Alcuin Club collections ; no. 49</t>
        </is>
      </c>
      <c r="R139" t="inlineStr">
        <is>
          <t xml:space="preserve">BV </t>
        </is>
      </c>
      <c r="S139" t="n">
        <v>1</v>
      </c>
      <c r="T139" t="n">
        <v>1</v>
      </c>
      <c r="U139" t="inlineStr">
        <is>
          <t>2001-07-17</t>
        </is>
      </c>
      <c r="V139" t="inlineStr">
        <is>
          <t>2001-07-17</t>
        </is>
      </c>
      <c r="W139" t="inlineStr">
        <is>
          <t>1991-11-25</t>
        </is>
      </c>
      <c r="X139" t="inlineStr">
        <is>
          <t>1991-11-25</t>
        </is>
      </c>
      <c r="Y139" t="n">
        <v>220</v>
      </c>
      <c r="Z139" t="n">
        <v>154</v>
      </c>
      <c r="AA139" t="n">
        <v>156</v>
      </c>
      <c r="AB139" t="n">
        <v>1</v>
      </c>
      <c r="AC139" t="n">
        <v>1</v>
      </c>
      <c r="AD139" t="n">
        <v>15</v>
      </c>
      <c r="AE139" t="n">
        <v>15</v>
      </c>
      <c r="AF139" t="n">
        <v>2</v>
      </c>
      <c r="AG139" t="n">
        <v>2</v>
      </c>
      <c r="AH139" t="n">
        <v>5</v>
      </c>
      <c r="AI139" t="n">
        <v>5</v>
      </c>
      <c r="AJ139" t="n">
        <v>11</v>
      </c>
      <c r="AK139" t="n">
        <v>11</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HYPERLINK("https://creighton-primo.hosted.exlibrisgroup.com/primo-explore/search?tab=default_tab&amp;search_scope=EVERYTHING&amp;vid=01CRU&amp;lang=en_US&amp;offset=0&amp;query=any,contains,991003248159702656","Catalog Record")</f>
        <v/>
      </c>
      <c r="AT139">
        <f>HYPERLINK("http://www.worldcat.org/oclc/772909","WorldCat Record")</f>
        <v/>
      </c>
      <c r="AU139" t="inlineStr">
        <is>
          <t>1679297:eng</t>
        </is>
      </c>
      <c r="AV139" t="inlineStr">
        <is>
          <t>772909</t>
        </is>
      </c>
      <c r="AW139" t="inlineStr">
        <is>
          <t>991003248159702656</t>
        </is>
      </c>
      <c r="AX139" t="inlineStr">
        <is>
          <t>991003248159702656</t>
        </is>
      </c>
      <c r="AY139" t="inlineStr">
        <is>
          <t>2264438020002656</t>
        </is>
      </c>
      <c r="AZ139" t="inlineStr">
        <is>
          <t>BOOK</t>
        </is>
      </c>
      <c r="BC139" t="inlineStr">
        <is>
          <t>32285000836048</t>
        </is>
      </c>
      <c r="BD139" t="inlineStr">
        <is>
          <t>893323914</t>
        </is>
      </c>
    </row>
    <row r="140">
      <c r="A140" t="inlineStr">
        <is>
          <t>No</t>
        </is>
      </c>
      <c r="B140" t="inlineStr">
        <is>
          <t>BV199.G39 E68 1995</t>
        </is>
      </c>
      <c r="C140" t="inlineStr">
        <is>
          <t>0                      BV 0199000G  39                 E  68          1995</t>
        </is>
      </c>
      <c r="D140" t="inlineStr">
        <is>
          <t>Equal rites : lesbian and gay worship, ceremonies, and celebrations / editors, Kittredge Cherry, Zalmon Sherwood.</t>
        </is>
      </c>
      <c r="F140" t="inlineStr">
        <is>
          <t>No</t>
        </is>
      </c>
      <c r="G140" t="inlineStr">
        <is>
          <t>1</t>
        </is>
      </c>
      <c r="H140" t="inlineStr">
        <is>
          <t>No</t>
        </is>
      </c>
      <c r="I140" t="inlineStr">
        <is>
          <t>No</t>
        </is>
      </c>
      <c r="J140" t="inlineStr">
        <is>
          <t>0</t>
        </is>
      </c>
      <c r="L140" t="inlineStr">
        <is>
          <t>Louisville, Ky. : Westminster/John Knox Press, c1995.</t>
        </is>
      </c>
      <c r="M140" t="inlineStr">
        <is>
          <t>1995</t>
        </is>
      </c>
      <c r="N140" t="inlineStr">
        <is>
          <t>1st ed.</t>
        </is>
      </c>
      <c r="O140" t="inlineStr">
        <is>
          <t>eng</t>
        </is>
      </c>
      <c r="P140" t="inlineStr">
        <is>
          <t>kyu</t>
        </is>
      </c>
      <c r="R140" t="inlineStr">
        <is>
          <t xml:space="preserve">BV </t>
        </is>
      </c>
      <c r="S140" t="n">
        <v>1</v>
      </c>
      <c r="T140" t="n">
        <v>1</v>
      </c>
      <c r="U140" t="inlineStr">
        <is>
          <t>2002-09-18</t>
        </is>
      </c>
      <c r="V140" t="inlineStr">
        <is>
          <t>2002-09-18</t>
        </is>
      </c>
      <c r="W140" t="inlineStr">
        <is>
          <t>1996-06-26</t>
        </is>
      </c>
      <c r="X140" t="inlineStr">
        <is>
          <t>1996-06-26</t>
        </is>
      </c>
      <c r="Y140" t="n">
        <v>242</v>
      </c>
      <c r="Z140" t="n">
        <v>199</v>
      </c>
      <c r="AA140" t="n">
        <v>718</v>
      </c>
      <c r="AB140" t="n">
        <v>1</v>
      </c>
      <c r="AC140" t="n">
        <v>25</v>
      </c>
      <c r="AD140" t="n">
        <v>7</v>
      </c>
      <c r="AE140" t="n">
        <v>21</v>
      </c>
      <c r="AF140" t="n">
        <v>4</v>
      </c>
      <c r="AG140" t="n">
        <v>7</v>
      </c>
      <c r="AH140" t="n">
        <v>2</v>
      </c>
      <c r="AI140" t="n">
        <v>2</v>
      </c>
      <c r="AJ140" t="n">
        <v>3</v>
      </c>
      <c r="AK140" t="n">
        <v>4</v>
      </c>
      <c r="AL140" t="n">
        <v>0</v>
      </c>
      <c r="AM140" t="n">
        <v>10</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HYPERLINK("https://creighton-primo.hosted.exlibrisgroup.com/primo-explore/search?tab=default_tab&amp;search_scope=EVERYTHING&amp;vid=01CRU&amp;lang=en_US&amp;offset=0&amp;query=any,contains,991002361769702656","Catalog Record")</f>
        <v/>
      </c>
      <c r="AT140">
        <f>HYPERLINK("http://www.worldcat.org/oclc/30703600","WorldCat Record")</f>
        <v/>
      </c>
      <c r="AU140" t="inlineStr">
        <is>
          <t>799952144:eng</t>
        </is>
      </c>
      <c r="AV140" t="inlineStr">
        <is>
          <t>30703600</t>
        </is>
      </c>
      <c r="AW140" t="inlineStr">
        <is>
          <t>991002361769702656</t>
        </is>
      </c>
      <c r="AX140" t="inlineStr">
        <is>
          <t>991002361769702656</t>
        </is>
      </c>
      <c r="AY140" t="inlineStr">
        <is>
          <t>2258406860002656</t>
        </is>
      </c>
      <c r="AZ140" t="inlineStr">
        <is>
          <t>BOOK</t>
        </is>
      </c>
      <c r="BB140" t="inlineStr">
        <is>
          <t>9780664255350</t>
        </is>
      </c>
      <c r="BC140" t="inlineStr">
        <is>
          <t>32285002174034</t>
        </is>
      </c>
      <c r="BD140" t="inlineStr">
        <is>
          <t>893510639</t>
        </is>
      </c>
    </row>
    <row r="141">
      <c r="A141" t="inlineStr">
        <is>
          <t>No</t>
        </is>
      </c>
      <c r="B141" t="inlineStr">
        <is>
          <t>BV205 .W66 1969</t>
        </is>
      </c>
      <c r="C141" t="inlineStr">
        <is>
          <t>0                      BV 0205000W  66          1969</t>
        </is>
      </c>
      <c r="D141" t="inlineStr">
        <is>
          <t>Springs of devotion : inspiring writings about the meaning and joy of prayer / selected by Arthur Wortman ; Illustrated by William Gilmore.</t>
        </is>
      </c>
      <c r="F141" t="inlineStr">
        <is>
          <t>No</t>
        </is>
      </c>
      <c r="G141" t="inlineStr">
        <is>
          <t>1</t>
        </is>
      </c>
      <c r="H141" t="inlineStr">
        <is>
          <t>No</t>
        </is>
      </c>
      <c r="I141" t="inlineStr">
        <is>
          <t>No</t>
        </is>
      </c>
      <c r="J141" t="inlineStr">
        <is>
          <t>0</t>
        </is>
      </c>
      <c r="K141" t="inlineStr">
        <is>
          <t>Wortman, Arthur, compiler.</t>
        </is>
      </c>
      <c r="L141" t="inlineStr">
        <is>
          <t>[Kansas City, Mo.] : Hallmark Editions, [1969]</t>
        </is>
      </c>
      <c r="M141" t="inlineStr">
        <is>
          <t>1969</t>
        </is>
      </c>
      <c r="O141" t="inlineStr">
        <is>
          <t>eng</t>
        </is>
      </c>
      <c r="P141" t="inlineStr">
        <is>
          <t>mou</t>
        </is>
      </c>
      <c r="R141" t="inlineStr">
        <is>
          <t xml:space="preserve">BV </t>
        </is>
      </c>
      <c r="S141" t="n">
        <v>1</v>
      </c>
      <c r="T141" t="n">
        <v>1</v>
      </c>
      <c r="U141" t="inlineStr">
        <is>
          <t>2005-04-13</t>
        </is>
      </c>
      <c r="V141" t="inlineStr">
        <is>
          <t>2005-04-13</t>
        </is>
      </c>
      <c r="W141" t="inlineStr">
        <is>
          <t>2005-04-13</t>
        </is>
      </c>
      <c r="X141" t="inlineStr">
        <is>
          <t>2005-04-13</t>
        </is>
      </c>
      <c r="Y141" t="n">
        <v>68</v>
      </c>
      <c r="Z141" t="n">
        <v>61</v>
      </c>
      <c r="AA141" t="n">
        <v>66</v>
      </c>
      <c r="AB141" t="n">
        <v>1</v>
      </c>
      <c r="AC141" t="n">
        <v>1</v>
      </c>
      <c r="AD141" t="n">
        <v>3</v>
      </c>
      <c r="AE141" t="n">
        <v>3</v>
      </c>
      <c r="AF141" t="n">
        <v>2</v>
      </c>
      <c r="AG141" t="n">
        <v>2</v>
      </c>
      <c r="AH141" t="n">
        <v>1</v>
      </c>
      <c r="AI141" t="n">
        <v>1</v>
      </c>
      <c r="AJ141" t="n">
        <v>1</v>
      </c>
      <c r="AK141" t="n">
        <v>1</v>
      </c>
      <c r="AL141" t="n">
        <v>0</v>
      </c>
      <c r="AM141" t="n">
        <v>0</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HYPERLINK("https://creighton-primo.hosted.exlibrisgroup.com/primo-explore/search?tab=default_tab&amp;search_scope=EVERYTHING&amp;vid=01CRU&amp;lang=en_US&amp;offset=0&amp;query=any,contains,991004530049702656","Catalog Record")</f>
        <v/>
      </c>
      <c r="AT141">
        <f>HYPERLINK("http://www.worldcat.org/oclc/106663","WorldCat Record")</f>
        <v/>
      </c>
      <c r="AU141" t="inlineStr">
        <is>
          <t>3855258599:eng</t>
        </is>
      </c>
      <c r="AV141" t="inlineStr">
        <is>
          <t>106663</t>
        </is>
      </c>
      <c r="AW141" t="inlineStr">
        <is>
          <t>991004530049702656</t>
        </is>
      </c>
      <c r="AX141" t="inlineStr">
        <is>
          <t>991004530049702656</t>
        </is>
      </c>
      <c r="AY141" t="inlineStr">
        <is>
          <t>2263758420002656</t>
        </is>
      </c>
      <c r="AZ141" t="inlineStr">
        <is>
          <t>BOOK</t>
        </is>
      </c>
      <c r="BB141" t="inlineStr">
        <is>
          <t>9780875290096</t>
        </is>
      </c>
      <c r="BC141" t="inlineStr">
        <is>
          <t>32285005030605</t>
        </is>
      </c>
      <c r="BD141" t="inlineStr">
        <is>
          <t>893259825</t>
        </is>
      </c>
    </row>
    <row r="142">
      <c r="A142" t="inlineStr">
        <is>
          <t>No</t>
        </is>
      </c>
      <c r="B142" t="inlineStr">
        <is>
          <t>BV2060 .L4315</t>
        </is>
      </c>
      <c r="C142" t="inlineStr">
        <is>
          <t>0                      BV 2060000L  4315</t>
        </is>
      </c>
      <c r="D142" t="inlineStr">
        <is>
          <t>Supplementary series ... / Orville A. Petty, editor.</t>
        </is>
      </c>
      <c r="E142" t="inlineStr">
        <is>
          <t>V.3</t>
        </is>
      </c>
      <c r="F142" t="inlineStr">
        <is>
          <t>Yes</t>
        </is>
      </c>
      <c r="G142" t="inlineStr">
        <is>
          <t>1</t>
        </is>
      </c>
      <c r="H142" t="inlineStr">
        <is>
          <t>No</t>
        </is>
      </c>
      <c r="I142" t="inlineStr">
        <is>
          <t>No</t>
        </is>
      </c>
      <c r="J142" t="inlineStr">
        <is>
          <t>0</t>
        </is>
      </c>
      <c r="K142" t="inlineStr">
        <is>
          <t>Laymen's Foreign Missions Inquiry.</t>
        </is>
      </c>
      <c r="L142" t="inlineStr">
        <is>
          <t>New York ; London : Harper &amp; Brothers, 1933.</t>
        </is>
      </c>
      <c r="M142" t="inlineStr">
        <is>
          <t>1933</t>
        </is>
      </c>
      <c r="O142" t="inlineStr">
        <is>
          <t>eng</t>
        </is>
      </c>
      <c r="P142" t="inlineStr">
        <is>
          <t>nyu</t>
        </is>
      </c>
      <c r="R142" t="inlineStr">
        <is>
          <t xml:space="preserve">BV </t>
        </is>
      </c>
      <c r="S142" t="n">
        <v>0</v>
      </c>
      <c r="T142" t="n">
        <v>2</v>
      </c>
      <c r="V142" t="inlineStr">
        <is>
          <t>2000-05-23</t>
        </is>
      </c>
      <c r="W142" t="inlineStr">
        <is>
          <t>1992-02-03</t>
        </is>
      </c>
      <c r="X142" t="inlineStr">
        <is>
          <t>1992-02-03</t>
        </is>
      </c>
      <c r="Y142" t="n">
        <v>316</v>
      </c>
      <c r="Z142" t="n">
        <v>288</v>
      </c>
      <c r="AA142" t="n">
        <v>290</v>
      </c>
      <c r="AB142" t="n">
        <v>5</v>
      </c>
      <c r="AC142" t="n">
        <v>5</v>
      </c>
      <c r="AD142" t="n">
        <v>12</v>
      </c>
      <c r="AE142" t="n">
        <v>12</v>
      </c>
      <c r="AF142" t="n">
        <v>4</v>
      </c>
      <c r="AG142" t="n">
        <v>4</v>
      </c>
      <c r="AH142" t="n">
        <v>2</v>
      </c>
      <c r="AI142" t="n">
        <v>2</v>
      </c>
      <c r="AJ142" t="n">
        <v>3</v>
      </c>
      <c r="AK142" t="n">
        <v>3</v>
      </c>
      <c r="AL142" t="n">
        <v>4</v>
      </c>
      <c r="AM142" t="n">
        <v>4</v>
      </c>
      <c r="AN142" t="n">
        <v>0</v>
      </c>
      <c r="AO142" t="n">
        <v>0</v>
      </c>
      <c r="AP142" t="inlineStr">
        <is>
          <t>No</t>
        </is>
      </c>
      <c r="AQ142" t="inlineStr">
        <is>
          <t>Yes</t>
        </is>
      </c>
      <c r="AR142">
        <f>HYPERLINK("http://catalog.hathitrust.org/Record/001413769","HathiTrust Record")</f>
        <v/>
      </c>
      <c r="AS142">
        <f>HYPERLINK("https://creighton-primo.hosted.exlibrisgroup.com/primo-explore/search?tab=default_tab&amp;search_scope=EVERYTHING&amp;vid=01CRU&amp;lang=en_US&amp;offset=0&amp;query=any,contains,991005372259702656","Catalog Record")</f>
        <v/>
      </c>
      <c r="AT142">
        <f>HYPERLINK("http://www.worldcat.org/oclc/1494281","WorldCat Record")</f>
        <v/>
      </c>
      <c r="AU142" t="inlineStr">
        <is>
          <t>2416772:eng</t>
        </is>
      </c>
      <c r="AV142" t="inlineStr">
        <is>
          <t>1494281</t>
        </is>
      </c>
      <c r="AW142" t="inlineStr">
        <is>
          <t>991005372259702656</t>
        </is>
      </c>
      <c r="AX142" t="inlineStr">
        <is>
          <t>991005372259702656</t>
        </is>
      </c>
      <c r="AY142" t="inlineStr">
        <is>
          <t>2266142350002656</t>
        </is>
      </c>
      <c r="AZ142" t="inlineStr">
        <is>
          <t>BOOK</t>
        </is>
      </c>
      <c r="BC142" t="inlineStr">
        <is>
          <t>32285000927367</t>
        </is>
      </c>
      <c r="BD142" t="inlineStr">
        <is>
          <t>893236733</t>
        </is>
      </c>
    </row>
    <row r="143">
      <c r="A143" t="inlineStr">
        <is>
          <t>No</t>
        </is>
      </c>
      <c r="B143" t="inlineStr">
        <is>
          <t>BV2060 .L4315</t>
        </is>
      </c>
      <c r="C143" t="inlineStr">
        <is>
          <t>0                      BV 2060000L  4315</t>
        </is>
      </c>
      <c r="D143" t="inlineStr">
        <is>
          <t>Supplementary series ... / Orville A. Petty, editor.</t>
        </is>
      </c>
      <c r="E143" t="inlineStr">
        <is>
          <t>V.2</t>
        </is>
      </c>
      <c r="F143" t="inlineStr">
        <is>
          <t>Yes</t>
        </is>
      </c>
      <c r="G143" t="inlineStr">
        <is>
          <t>1</t>
        </is>
      </c>
      <c r="H143" t="inlineStr">
        <is>
          <t>No</t>
        </is>
      </c>
      <c r="I143" t="inlineStr">
        <is>
          <t>No</t>
        </is>
      </c>
      <c r="J143" t="inlineStr">
        <is>
          <t>0</t>
        </is>
      </c>
      <c r="K143" t="inlineStr">
        <is>
          <t>Laymen's Foreign Missions Inquiry.</t>
        </is>
      </c>
      <c r="L143" t="inlineStr">
        <is>
          <t>New York ; London : Harper &amp; Brothers, 1933.</t>
        </is>
      </c>
      <c r="M143" t="inlineStr">
        <is>
          <t>1933</t>
        </is>
      </c>
      <c r="O143" t="inlineStr">
        <is>
          <t>eng</t>
        </is>
      </c>
      <c r="P143" t="inlineStr">
        <is>
          <t>nyu</t>
        </is>
      </c>
      <c r="R143" t="inlineStr">
        <is>
          <t xml:space="preserve">BV </t>
        </is>
      </c>
      <c r="S143" t="n">
        <v>1</v>
      </c>
      <c r="T143" t="n">
        <v>2</v>
      </c>
      <c r="V143" t="inlineStr">
        <is>
          <t>2000-05-23</t>
        </is>
      </c>
      <c r="W143" t="inlineStr">
        <is>
          <t>1992-02-03</t>
        </is>
      </c>
      <c r="X143" t="inlineStr">
        <is>
          <t>1992-02-03</t>
        </is>
      </c>
      <c r="Y143" t="n">
        <v>316</v>
      </c>
      <c r="Z143" t="n">
        <v>288</v>
      </c>
      <c r="AA143" t="n">
        <v>290</v>
      </c>
      <c r="AB143" t="n">
        <v>5</v>
      </c>
      <c r="AC143" t="n">
        <v>5</v>
      </c>
      <c r="AD143" t="n">
        <v>12</v>
      </c>
      <c r="AE143" t="n">
        <v>12</v>
      </c>
      <c r="AF143" t="n">
        <v>4</v>
      </c>
      <c r="AG143" t="n">
        <v>4</v>
      </c>
      <c r="AH143" t="n">
        <v>2</v>
      </c>
      <c r="AI143" t="n">
        <v>2</v>
      </c>
      <c r="AJ143" t="n">
        <v>3</v>
      </c>
      <c r="AK143" t="n">
        <v>3</v>
      </c>
      <c r="AL143" t="n">
        <v>4</v>
      </c>
      <c r="AM143" t="n">
        <v>4</v>
      </c>
      <c r="AN143" t="n">
        <v>0</v>
      </c>
      <c r="AO143" t="n">
        <v>0</v>
      </c>
      <c r="AP143" t="inlineStr">
        <is>
          <t>No</t>
        </is>
      </c>
      <c r="AQ143" t="inlineStr">
        <is>
          <t>Yes</t>
        </is>
      </c>
      <c r="AR143">
        <f>HYPERLINK("http://catalog.hathitrust.org/Record/001413769","HathiTrust Record")</f>
        <v/>
      </c>
      <c r="AS143">
        <f>HYPERLINK("https://creighton-primo.hosted.exlibrisgroup.com/primo-explore/search?tab=default_tab&amp;search_scope=EVERYTHING&amp;vid=01CRU&amp;lang=en_US&amp;offset=0&amp;query=any,contains,991005372259702656","Catalog Record")</f>
        <v/>
      </c>
      <c r="AT143">
        <f>HYPERLINK("http://www.worldcat.org/oclc/1494281","WorldCat Record")</f>
        <v/>
      </c>
      <c r="AU143" t="inlineStr">
        <is>
          <t>2416772:eng</t>
        </is>
      </c>
      <c r="AV143" t="inlineStr">
        <is>
          <t>1494281</t>
        </is>
      </c>
      <c r="AW143" t="inlineStr">
        <is>
          <t>991005372259702656</t>
        </is>
      </c>
      <c r="AX143" t="inlineStr">
        <is>
          <t>991005372259702656</t>
        </is>
      </c>
      <c r="AY143" t="inlineStr">
        <is>
          <t>2266142350002656</t>
        </is>
      </c>
      <c r="AZ143" t="inlineStr">
        <is>
          <t>BOOK</t>
        </is>
      </c>
      <c r="BC143" t="inlineStr">
        <is>
          <t>32285000927359</t>
        </is>
      </c>
      <c r="BD143" t="inlineStr">
        <is>
          <t>893230604</t>
        </is>
      </c>
    </row>
    <row r="144">
      <c r="A144" t="inlineStr">
        <is>
          <t>No</t>
        </is>
      </c>
      <c r="B144" t="inlineStr">
        <is>
          <t>BV2060 .L4315</t>
        </is>
      </c>
      <c r="C144" t="inlineStr">
        <is>
          <t>0                      BV 2060000L  4315</t>
        </is>
      </c>
      <c r="D144" t="inlineStr">
        <is>
          <t>Supplementary series ... / Orville A. Petty, editor.</t>
        </is>
      </c>
      <c r="E144" t="inlineStr">
        <is>
          <t>V.5</t>
        </is>
      </c>
      <c r="F144" t="inlineStr">
        <is>
          <t>Yes</t>
        </is>
      </c>
      <c r="G144" t="inlineStr">
        <is>
          <t>1</t>
        </is>
      </c>
      <c r="H144" t="inlineStr">
        <is>
          <t>No</t>
        </is>
      </c>
      <c r="I144" t="inlineStr">
        <is>
          <t>No</t>
        </is>
      </c>
      <c r="J144" t="inlineStr">
        <is>
          <t>0</t>
        </is>
      </c>
      <c r="K144" t="inlineStr">
        <is>
          <t>Laymen's Foreign Missions Inquiry.</t>
        </is>
      </c>
      <c r="L144" t="inlineStr">
        <is>
          <t>New York ; London : Harper &amp; Brothers, 1933.</t>
        </is>
      </c>
      <c r="M144" t="inlineStr">
        <is>
          <t>1933</t>
        </is>
      </c>
      <c r="O144" t="inlineStr">
        <is>
          <t>eng</t>
        </is>
      </c>
      <c r="P144" t="inlineStr">
        <is>
          <t>nyu</t>
        </is>
      </c>
      <c r="R144" t="inlineStr">
        <is>
          <t xml:space="preserve">BV </t>
        </is>
      </c>
      <c r="S144" t="n">
        <v>0</v>
      </c>
      <c r="T144" t="n">
        <v>2</v>
      </c>
      <c r="V144" t="inlineStr">
        <is>
          <t>2000-05-23</t>
        </is>
      </c>
      <c r="W144" t="inlineStr">
        <is>
          <t>1992-02-03</t>
        </is>
      </c>
      <c r="X144" t="inlineStr">
        <is>
          <t>1992-02-03</t>
        </is>
      </c>
      <c r="Y144" t="n">
        <v>316</v>
      </c>
      <c r="Z144" t="n">
        <v>288</v>
      </c>
      <c r="AA144" t="n">
        <v>290</v>
      </c>
      <c r="AB144" t="n">
        <v>5</v>
      </c>
      <c r="AC144" t="n">
        <v>5</v>
      </c>
      <c r="AD144" t="n">
        <v>12</v>
      </c>
      <c r="AE144" t="n">
        <v>12</v>
      </c>
      <c r="AF144" t="n">
        <v>4</v>
      </c>
      <c r="AG144" t="n">
        <v>4</v>
      </c>
      <c r="AH144" t="n">
        <v>2</v>
      </c>
      <c r="AI144" t="n">
        <v>2</v>
      </c>
      <c r="AJ144" t="n">
        <v>3</v>
      </c>
      <c r="AK144" t="n">
        <v>3</v>
      </c>
      <c r="AL144" t="n">
        <v>4</v>
      </c>
      <c r="AM144" t="n">
        <v>4</v>
      </c>
      <c r="AN144" t="n">
        <v>0</v>
      </c>
      <c r="AO144" t="n">
        <v>0</v>
      </c>
      <c r="AP144" t="inlineStr">
        <is>
          <t>No</t>
        </is>
      </c>
      <c r="AQ144" t="inlineStr">
        <is>
          <t>Yes</t>
        </is>
      </c>
      <c r="AR144">
        <f>HYPERLINK("http://catalog.hathitrust.org/Record/001413769","HathiTrust Record")</f>
        <v/>
      </c>
      <c r="AS144">
        <f>HYPERLINK("https://creighton-primo.hosted.exlibrisgroup.com/primo-explore/search?tab=default_tab&amp;search_scope=EVERYTHING&amp;vid=01CRU&amp;lang=en_US&amp;offset=0&amp;query=any,contains,991005372259702656","Catalog Record")</f>
        <v/>
      </c>
      <c r="AT144">
        <f>HYPERLINK("http://www.worldcat.org/oclc/1494281","WorldCat Record")</f>
        <v/>
      </c>
      <c r="AU144" t="inlineStr">
        <is>
          <t>2416772:eng</t>
        </is>
      </c>
      <c r="AV144" t="inlineStr">
        <is>
          <t>1494281</t>
        </is>
      </c>
      <c r="AW144" t="inlineStr">
        <is>
          <t>991005372259702656</t>
        </is>
      </c>
      <c r="AX144" t="inlineStr">
        <is>
          <t>991005372259702656</t>
        </is>
      </c>
      <c r="AY144" t="inlineStr">
        <is>
          <t>2266142350002656</t>
        </is>
      </c>
      <c r="AZ144" t="inlineStr">
        <is>
          <t>BOOK</t>
        </is>
      </c>
      <c r="BC144" t="inlineStr">
        <is>
          <t>32285000927383</t>
        </is>
      </c>
      <c r="BD144" t="inlineStr">
        <is>
          <t>893230602</t>
        </is>
      </c>
    </row>
    <row r="145">
      <c r="A145" t="inlineStr">
        <is>
          <t>No</t>
        </is>
      </c>
      <c r="B145" t="inlineStr">
        <is>
          <t>BV2060 .L4315</t>
        </is>
      </c>
      <c r="C145" t="inlineStr">
        <is>
          <t>0                      BV 2060000L  4315</t>
        </is>
      </c>
      <c r="D145" t="inlineStr">
        <is>
          <t>Supplementary series ... / Orville A. Petty, editor.</t>
        </is>
      </c>
      <c r="E145" t="inlineStr">
        <is>
          <t>V.7</t>
        </is>
      </c>
      <c r="F145" t="inlineStr">
        <is>
          <t>Yes</t>
        </is>
      </c>
      <c r="G145" t="inlineStr">
        <is>
          <t>1</t>
        </is>
      </c>
      <c r="H145" t="inlineStr">
        <is>
          <t>No</t>
        </is>
      </c>
      <c r="I145" t="inlineStr">
        <is>
          <t>No</t>
        </is>
      </c>
      <c r="J145" t="inlineStr">
        <is>
          <t>0</t>
        </is>
      </c>
      <c r="K145" t="inlineStr">
        <is>
          <t>Laymen's Foreign Missions Inquiry.</t>
        </is>
      </c>
      <c r="L145" t="inlineStr">
        <is>
          <t>New York ; London : Harper &amp; Brothers, 1933.</t>
        </is>
      </c>
      <c r="M145" t="inlineStr">
        <is>
          <t>1933</t>
        </is>
      </c>
      <c r="O145" t="inlineStr">
        <is>
          <t>eng</t>
        </is>
      </c>
      <c r="P145" t="inlineStr">
        <is>
          <t>nyu</t>
        </is>
      </c>
      <c r="R145" t="inlineStr">
        <is>
          <t xml:space="preserve">BV </t>
        </is>
      </c>
      <c r="S145" t="n">
        <v>0</v>
      </c>
      <c r="T145" t="n">
        <v>2</v>
      </c>
      <c r="V145" t="inlineStr">
        <is>
          <t>2000-05-23</t>
        </is>
      </c>
      <c r="W145" t="inlineStr">
        <is>
          <t>1992-02-03</t>
        </is>
      </c>
      <c r="X145" t="inlineStr">
        <is>
          <t>1992-02-03</t>
        </is>
      </c>
      <c r="Y145" t="n">
        <v>316</v>
      </c>
      <c r="Z145" t="n">
        <v>288</v>
      </c>
      <c r="AA145" t="n">
        <v>290</v>
      </c>
      <c r="AB145" t="n">
        <v>5</v>
      </c>
      <c r="AC145" t="n">
        <v>5</v>
      </c>
      <c r="AD145" t="n">
        <v>12</v>
      </c>
      <c r="AE145" t="n">
        <v>12</v>
      </c>
      <c r="AF145" t="n">
        <v>4</v>
      </c>
      <c r="AG145" t="n">
        <v>4</v>
      </c>
      <c r="AH145" t="n">
        <v>2</v>
      </c>
      <c r="AI145" t="n">
        <v>2</v>
      </c>
      <c r="AJ145" t="n">
        <v>3</v>
      </c>
      <c r="AK145" t="n">
        <v>3</v>
      </c>
      <c r="AL145" t="n">
        <v>4</v>
      </c>
      <c r="AM145" t="n">
        <v>4</v>
      </c>
      <c r="AN145" t="n">
        <v>0</v>
      </c>
      <c r="AO145" t="n">
        <v>0</v>
      </c>
      <c r="AP145" t="inlineStr">
        <is>
          <t>No</t>
        </is>
      </c>
      <c r="AQ145" t="inlineStr">
        <is>
          <t>Yes</t>
        </is>
      </c>
      <c r="AR145">
        <f>HYPERLINK("http://catalog.hathitrust.org/Record/001413769","HathiTrust Record")</f>
        <v/>
      </c>
      <c r="AS145">
        <f>HYPERLINK("https://creighton-primo.hosted.exlibrisgroup.com/primo-explore/search?tab=default_tab&amp;search_scope=EVERYTHING&amp;vid=01CRU&amp;lang=en_US&amp;offset=0&amp;query=any,contains,991005372259702656","Catalog Record")</f>
        <v/>
      </c>
      <c r="AT145">
        <f>HYPERLINK("http://www.worldcat.org/oclc/1494281","WorldCat Record")</f>
        <v/>
      </c>
      <c r="AU145" t="inlineStr">
        <is>
          <t>2416772:eng</t>
        </is>
      </c>
      <c r="AV145" t="inlineStr">
        <is>
          <t>1494281</t>
        </is>
      </c>
      <c r="AW145" t="inlineStr">
        <is>
          <t>991005372259702656</t>
        </is>
      </c>
      <c r="AX145" t="inlineStr">
        <is>
          <t>991005372259702656</t>
        </is>
      </c>
      <c r="AY145" t="inlineStr">
        <is>
          <t>2266142350002656</t>
        </is>
      </c>
      <c r="AZ145" t="inlineStr">
        <is>
          <t>BOOK</t>
        </is>
      </c>
      <c r="BC145" t="inlineStr">
        <is>
          <t>32285000927409</t>
        </is>
      </c>
      <c r="BD145" t="inlineStr">
        <is>
          <t>893230601</t>
        </is>
      </c>
    </row>
    <row r="146">
      <c r="A146" t="inlineStr">
        <is>
          <t>No</t>
        </is>
      </c>
      <c r="B146" t="inlineStr">
        <is>
          <t>BV2060 .L4315</t>
        </is>
      </c>
      <c r="C146" t="inlineStr">
        <is>
          <t>0                      BV 2060000L  4315</t>
        </is>
      </c>
      <c r="D146" t="inlineStr">
        <is>
          <t>Supplementary series ... / Orville A. Petty, editor.</t>
        </is>
      </c>
      <c r="E146" t="inlineStr">
        <is>
          <t>V.6</t>
        </is>
      </c>
      <c r="F146" t="inlineStr">
        <is>
          <t>Yes</t>
        </is>
      </c>
      <c r="G146" t="inlineStr">
        <is>
          <t>1</t>
        </is>
      </c>
      <c r="H146" t="inlineStr">
        <is>
          <t>No</t>
        </is>
      </c>
      <c r="I146" t="inlineStr">
        <is>
          <t>No</t>
        </is>
      </c>
      <c r="J146" t="inlineStr">
        <is>
          <t>0</t>
        </is>
      </c>
      <c r="K146" t="inlineStr">
        <is>
          <t>Laymen's Foreign Missions Inquiry.</t>
        </is>
      </c>
      <c r="L146" t="inlineStr">
        <is>
          <t>New York ; London : Harper &amp; Brothers, 1933.</t>
        </is>
      </c>
      <c r="M146" t="inlineStr">
        <is>
          <t>1933</t>
        </is>
      </c>
      <c r="O146" t="inlineStr">
        <is>
          <t>eng</t>
        </is>
      </c>
      <c r="P146" t="inlineStr">
        <is>
          <t>nyu</t>
        </is>
      </c>
      <c r="R146" t="inlineStr">
        <is>
          <t xml:space="preserve">BV </t>
        </is>
      </c>
      <c r="S146" t="n">
        <v>0</v>
      </c>
      <c r="T146" t="n">
        <v>2</v>
      </c>
      <c r="V146" t="inlineStr">
        <is>
          <t>2000-05-23</t>
        </is>
      </c>
      <c r="W146" t="inlineStr">
        <is>
          <t>1992-02-03</t>
        </is>
      </c>
      <c r="X146" t="inlineStr">
        <is>
          <t>1992-02-03</t>
        </is>
      </c>
      <c r="Y146" t="n">
        <v>316</v>
      </c>
      <c r="Z146" t="n">
        <v>288</v>
      </c>
      <c r="AA146" t="n">
        <v>290</v>
      </c>
      <c r="AB146" t="n">
        <v>5</v>
      </c>
      <c r="AC146" t="n">
        <v>5</v>
      </c>
      <c r="AD146" t="n">
        <v>12</v>
      </c>
      <c r="AE146" t="n">
        <v>12</v>
      </c>
      <c r="AF146" t="n">
        <v>4</v>
      </c>
      <c r="AG146" t="n">
        <v>4</v>
      </c>
      <c r="AH146" t="n">
        <v>2</v>
      </c>
      <c r="AI146" t="n">
        <v>2</v>
      </c>
      <c r="AJ146" t="n">
        <v>3</v>
      </c>
      <c r="AK146" t="n">
        <v>3</v>
      </c>
      <c r="AL146" t="n">
        <v>4</v>
      </c>
      <c r="AM146" t="n">
        <v>4</v>
      </c>
      <c r="AN146" t="n">
        <v>0</v>
      </c>
      <c r="AO146" t="n">
        <v>0</v>
      </c>
      <c r="AP146" t="inlineStr">
        <is>
          <t>No</t>
        </is>
      </c>
      <c r="AQ146" t="inlineStr">
        <is>
          <t>Yes</t>
        </is>
      </c>
      <c r="AR146">
        <f>HYPERLINK("http://catalog.hathitrust.org/Record/001413769","HathiTrust Record")</f>
        <v/>
      </c>
      <c r="AS146">
        <f>HYPERLINK("https://creighton-primo.hosted.exlibrisgroup.com/primo-explore/search?tab=default_tab&amp;search_scope=EVERYTHING&amp;vid=01CRU&amp;lang=en_US&amp;offset=0&amp;query=any,contains,991005372259702656","Catalog Record")</f>
        <v/>
      </c>
      <c r="AT146">
        <f>HYPERLINK("http://www.worldcat.org/oclc/1494281","WorldCat Record")</f>
        <v/>
      </c>
      <c r="AU146" t="inlineStr">
        <is>
          <t>2416772:eng</t>
        </is>
      </c>
      <c r="AV146" t="inlineStr">
        <is>
          <t>1494281</t>
        </is>
      </c>
      <c r="AW146" t="inlineStr">
        <is>
          <t>991005372259702656</t>
        </is>
      </c>
      <c r="AX146" t="inlineStr">
        <is>
          <t>991005372259702656</t>
        </is>
      </c>
      <c r="AY146" t="inlineStr">
        <is>
          <t>2266142350002656</t>
        </is>
      </c>
      <c r="AZ146" t="inlineStr">
        <is>
          <t>BOOK</t>
        </is>
      </c>
      <c r="BC146" t="inlineStr">
        <is>
          <t>32285000927391</t>
        </is>
      </c>
      <c r="BD146" t="inlineStr">
        <is>
          <t>893254922</t>
        </is>
      </c>
    </row>
    <row r="147">
      <c r="A147" t="inlineStr">
        <is>
          <t>No</t>
        </is>
      </c>
      <c r="B147" t="inlineStr">
        <is>
          <t>BV2060 .L4315</t>
        </is>
      </c>
      <c r="C147" t="inlineStr">
        <is>
          <t>0                      BV 2060000L  4315</t>
        </is>
      </c>
      <c r="D147" t="inlineStr">
        <is>
          <t>Supplementary series ... / Orville A. Petty, editor.</t>
        </is>
      </c>
      <c r="E147" t="inlineStr">
        <is>
          <t>V.4</t>
        </is>
      </c>
      <c r="F147" t="inlineStr">
        <is>
          <t>Yes</t>
        </is>
      </c>
      <c r="G147" t="inlineStr">
        <is>
          <t>1</t>
        </is>
      </c>
      <c r="H147" t="inlineStr">
        <is>
          <t>No</t>
        </is>
      </c>
      <c r="I147" t="inlineStr">
        <is>
          <t>No</t>
        </is>
      </c>
      <c r="J147" t="inlineStr">
        <is>
          <t>0</t>
        </is>
      </c>
      <c r="K147" t="inlineStr">
        <is>
          <t>Laymen's Foreign Missions Inquiry.</t>
        </is>
      </c>
      <c r="L147" t="inlineStr">
        <is>
          <t>New York ; London : Harper &amp; Brothers, 1933.</t>
        </is>
      </c>
      <c r="M147" t="inlineStr">
        <is>
          <t>1933</t>
        </is>
      </c>
      <c r="O147" t="inlineStr">
        <is>
          <t>eng</t>
        </is>
      </c>
      <c r="P147" t="inlineStr">
        <is>
          <t>nyu</t>
        </is>
      </c>
      <c r="R147" t="inlineStr">
        <is>
          <t xml:space="preserve">BV </t>
        </is>
      </c>
      <c r="S147" t="n">
        <v>1</v>
      </c>
      <c r="T147" t="n">
        <v>2</v>
      </c>
      <c r="U147" t="inlineStr">
        <is>
          <t>2000-05-23</t>
        </is>
      </c>
      <c r="V147" t="inlineStr">
        <is>
          <t>2000-05-23</t>
        </is>
      </c>
      <c r="W147" t="inlineStr">
        <is>
          <t>1992-02-03</t>
        </is>
      </c>
      <c r="X147" t="inlineStr">
        <is>
          <t>1992-02-03</t>
        </is>
      </c>
      <c r="Y147" t="n">
        <v>316</v>
      </c>
      <c r="Z147" t="n">
        <v>288</v>
      </c>
      <c r="AA147" t="n">
        <v>290</v>
      </c>
      <c r="AB147" t="n">
        <v>5</v>
      </c>
      <c r="AC147" t="n">
        <v>5</v>
      </c>
      <c r="AD147" t="n">
        <v>12</v>
      </c>
      <c r="AE147" t="n">
        <v>12</v>
      </c>
      <c r="AF147" t="n">
        <v>4</v>
      </c>
      <c r="AG147" t="n">
        <v>4</v>
      </c>
      <c r="AH147" t="n">
        <v>2</v>
      </c>
      <c r="AI147" t="n">
        <v>2</v>
      </c>
      <c r="AJ147" t="n">
        <v>3</v>
      </c>
      <c r="AK147" t="n">
        <v>3</v>
      </c>
      <c r="AL147" t="n">
        <v>4</v>
      </c>
      <c r="AM147" t="n">
        <v>4</v>
      </c>
      <c r="AN147" t="n">
        <v>0</v>
      </c>
      <c r="AO147" t="n">
        <v>0</v>
      </c>
      <c r="AP147" t="inlineStr">
        <is>
          <t>No</t>
        </is>
      </c>
      <c r="AQ147" t="inlineStr">
        <is>
          <t>Yes</t>
        </is>
      </c>
      <c r="AR147">
        <f>HYPERLINK("http://catalog.hathitrust.org/Record/001413769","HathiTrust Record")</f>
        <v/>
      </c>
      <c r="AS147">
        <f>HYPERLINK("https://creighton-primo.hosted.exlibrisgroup.com/primo-explore/search?tab=default_tab&amp;search_scope=EVERYTHING&amp;vid=01CRU&amp;lang=en_US&amp;offset=0&amp;query=any,contains,991005372259702656","Catalog Record")</f>
        <v/>
      </c>
      <c r="AT147">
        <f>HYPERLINK("http://www.worldcat.org/oclc/1494281","WorldCat Record")</f>
        <v/>
      </c>
      <c r="AU147" t="inlineStr">
        <is>
          <t>2416772:eng</t>
        </is>
      </c>
      <c r="AV147" t="inlineStr">
        <is>
          <t>1494281</t>
        </is>
      </c>
      <c r="AW147" t="inlineStr">
        <is>
          <t>991005372259702656</t>
        </is>
      </c>
      <c r="AX147" t="inlineStr">
        <is>
          <t>991005372259702656</t>
        </is>
      </c>
      <c r="AY147" t="inlineStr">
        <is>
          <t>2266142350002656</t>
        </is>
      </c>
      <c r="AZ147" t="inlineStr">
        <is>
          <t>BOOK</t>
        </is>
      </c>
      <c r="BC147" t="inlineStr">
        <is>
          <t>32285000927375</t>
        </is>
      </c>
      <c r="BD147" t="inlineStr">
        <is>
          <t>893230603</t>
        </is>
      </c>
    </row>
    <row r="148">
      <c r="A148" t="inlineStr">
        <is>
          <t>No</t>
        </is>
      </c>
      <c r="B148" t="inlineStr">
        <is>
          <t>BV2060 .L4315</t>
        </is>
      </c>
      <c r="C148" t="inlineStr">
        <is>
          <t>0                      BV 2060000L  4315</t>
        </is>
      </c>
      <c r="D148" t="inlineStr">
        <is>
          <t>Supplementary series ... / Orville A. Petty, editor.</t>
        </is>
      </c>
      <c r="E148" t="inlineStr">
        <is>
          <t>V.1</t>
        </is>
      </c>
      <c r="F148" t="inlineStr">
        <is>
          <t>Yes</t>
        </is>
      </c>
      <c r="G148" t="inlineStr">
        <is>
          <t>1</t>
        </is>
      </c>
      <c r="H148" t="inlineStr">
        <is>
          <t>No</t>
        </is>
      </c>
      <c r="I148" t="inlineStr">
        <is>
          <t>No</t>
        </is>
      </c>
      <c r="J148" t="inlineStr">
        <is>
          <t>0</t>
        </is>
      </c>
      <c r="K148" t="inlineStr">
        <is>
          <t>Laymen's Foreign Missions Inquiry.</t>
        </is>
      </c>
      <c r="L148" t="inlineStr">
        <is>
          <t>New York ; London : Harper &amp; Brothers, 1933.</t>
        </is>
      </c>
      <c r="M148" t="inlineStr">
        <is>
          <t>1933</t>
        </is>
      </c>
      <c r="O148" t="inlineStr">
        <is>
          <t>eng</t>
        </is>
      </c>
      <c r="P148" t="inlineStr">
        <is>
          <t>nyu</t>
        </is>
      </c>
      <c r="R148" t="inlineStr">
        <is>
          <t xml:space="preserve">BV </t>
        </is>
      </c>
      <c r="S148" t="n">
        <v>0</v>
      </c>
      <c r="T148" t="n">
        <v>2</v>
      </c>
      <c r="V148" t="inlineStr">
        <is>
          <t>2000-05-23</t>
        </is>
      </c>
      <c r="W148" t="inlineStr">
        <is>
          <t>1992-02-03</t>
        </is>
      </c>
      <c r="X148" t="inlineStr">
        <is>
          <t>1992-02-03</t>
        </is>
      </c>
      <c r="Y148" t="n">
        <v>316</v>
      </c>
      <c r="Z148" t="n">
        <v>288</v>
      </c>
      <c r="AA148" t="n">
        <v>290</v>
      </c>
      <c r="AB148" t="n">
        <v>5</v>
      </c>
      <c r="AC148" t="n">
        <v>5</v>
      </c>
      <c r="AD148" t="n">
        <v>12</v>
      </c>
      <c r="AE148" t="n">
        <v>12</v>
      </c>
      <c r="AF148" t="n">
        <v>4</v>
      </c>
      <c r="AG148" t="n">
        <v>4</v>
      </c>
      <c r="AH148" t="n">
        <v>2</v>
      </c>
      <c r="AI148" t="n">
        <v>2</v>
      </c>
      <c r="AJ148" t="n">
        <v>3</v>
      </c>
      <c r="AK148" t="n">
        <v>3</v>
      </c>
      <c r="AL148" t="n">
        <v>4</v>
      </c>
      <c r="AM148" t="n">
        <v>4</v>
      </c>
      <c r="AN148" t="n">
        <v>0</v>
      </c>
      <c r="AO148" t="n">
        <v>0</v>
      </c>
      <c r="AP148" t="inlineStr">
        <is>
          <t>No</t>
        </is>
      </c>
      <c r="AQ148" t="inlineStr">
        <is>
          <t>Yes</t>
        </is>
      </c>
      <c r="AR148">
        <f>HYPERLINK("http://catalog.hathitrust.org/Record/001413769","HathiTrust Record")</f>
        <v/>
      </c>
      <c r="AS148">
        <f>HYPERLINK("https://creighton-primo.hosted.exlibrisgroup.com/primo-explore/search?tab=default_tab&amp;search_scope=EVERYTHING&amp;vid=01CRU&amp;lang=en_US&amp;offset=0&amp;query=any,contains,991005372259702656","Catalog Record")</f>
        <v/>
      </c>
      <c r="AT148">
        <f>HYPERLINK("http://www.worldcat.org/oclc/1494281","WorldCat Record")</f>
        <v/>
      </c>
      <c r="AU148" t="inlineStr">
        <is>
          <t>2416772:eng</t>
        </is>
      </c>
      <c r="AV148" t="inlineStr">
        <is>
          <t>1494281</t>
        </is>
      </c>
      <c r="AW148" t="inlineStr">
        <is>
          <t>991005372259702656</t>
        </is>
      </c>
      <c r="AX148" t="inlineStr">
        <is>
          <t>991005372259702656</t>
        </is>
      </c>
      <c r="AY148" t="inlineStr">
        <is>
          <t>2266142350002656</t>
        </is>
      </c>
      <c r="AZ148" t="inlineStr">
        <is>
          <t>BOOK</t>
        </is>
      </c>
      <c r="BC148" t="inlineStr">
        <is>
          <t>32285000927342</t>
        </is>
      </c>
      <c r="BD148" t="inlineStr">
        <is>
          <t>893242653</t>
        </is>
      </c>
    </row>
    <row r="149">
      <c r="A149" t="inlineStr">
        <is>
          <t>No</t>
        </is>
      </c>
      <c r="B149" t="inlineStr">
        <is>
          <t>BV2060 .M27</t>
        </is>
      </c>
      <c r="C149" t="inlineStr">
        <is>
          <t>0                      BV 2060000M  27</t>
        </is>
      </c>
      <c r="D149" t="inlineStr">
        <is>
          <t>The bridges of God : a study in the strategy of missions / by Donald Anderson McGavran.</t>
        </is>
      </c>
      <c r="F149" t="inlineStr">
        <is>
          <t>No</t>
        </is>
      </c>
      <c r="G149" t="inlineStr">
        <is>
          <t>1</t>
        </is>
      </c>
      <c r="H149" t="inlineStr">
        <is>
          <t>No</t>
        </is>
      </c>
      <c r="I149" t="inlineStr">
        <is>
          <t>No</t>
        </is>
      </c>
      <c r="J149" t="inlineStr">
        <is>
          <t>0</t>
        </is>
      </c>
      <c r="K149" t="inlineStr">
        <is>
          <t>McGavran, Donald A. (Donald Anderson), 1897-1990.</t>
        </is>
      </c>
      <c r="L149" t="inlineStr">
        <is>
          <t>New York, Distributed by Friendship Press [1955]</t>
        </is>
      </c>
      <c r="M149" t="inlineStr">
        <is>
          <t>1955</t>
        </is>
      </c>
      <c r="O149" t="inlineStr">
        <is>
          <t>eng</t>
        </is>
      </c>
      <c r="P149" t="inlineStr">
        <is>
          <t>nyu</t>
        </is>
      </c>
      <c r="R149" t="inlineStr">
        <is>
          <t xml:space="preserve">BV </t>
        </is>
      </c>
      <c r="S149" t="n">
        <v>2</v>
      </c>
      <c r="T149" t="n">
        <v>2</v>
      </c>
      <c r="U149" t="inlineStr">
        <is>
          <t>2009-11-03</t>
        </is>
      </c>
      <c r="V149" t="inlineStr">
        <is>
          <t>2009-11-03</t>
        </is>
      </c>
      <c r="W149" t="inlineStr">
        <is>
          <t>1992-02-03</t>
        </is>
      </c>
      <c r="X149" t="inlineStr">
        <is>
          <t>1992-02-03</t>
        </is>
      </c>
      <c r="Y149" t="n">
        <v>207</v>
      </c>
      <c r="Z149" t="n">
        <v>183</v>
      </c>
      <c r="AA149" t="n">
        <v>270</v>
      </c>
      <c r="AB149" t="n">
        <v>3</v>
      </c>
      <c r="AC149" t="n">
        <v>4</v>
      </c>
      <c r="AD149" t="n">
        <v>6</v>
      </c>
      <c r="AE149" t="n">
        <v>9</v>
      </c>
      <c r="AF149" t="n">
        <v>3</v>
      </c>
      <c r="AG149" t="n">
        <v>4</v>
      </c>
      <c r="AH149" t="n">
        <v>0</v>
      </c>
      <c r="AI149" t="n">
        <v>0</v>
      </c>
      <c r="AJ149" t="n">
        <v>1</v>
      </c>
      <c r="AK149" t="n">
        <v>2</v>
      </c>
      <c r="AL149" t="n">
        <v>2</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HYPERLINK("https://creighton-primo.hosted.exlibrisgroup.com/primo-explore/search?tab=default_tab&amp;search_scope=EVERYTHING&amp;vid=01CRU&amp;lang=en_US&amp;offset=0&amp;query=any,contains,991004261299702656","Catalog Record")</f>
        <v/>
      </c>
      <c r="AT149">
        <f>HYPERLINK("http://www.worldcat.org/oclc/2845374","WorldCat Record")</f>
        <v/>
      </c>
      <c r="AU149" t="inlineStr">
        <is>
          <t>889450972:eng</t>
        </is>
      </c>
      <c r="AV149" t="inlineStr">
        <is>
          <t>2845374</t>
        </is>
      </c>
      <c r="AW149" t="inlineStr">
        <is>
          <t>991004261299702656</t>
        </is>
      </c>
      <c r="AX149" t="inlineStr">
        <is>
          <t>991004261299702656</t>
        </is>
      </c>
      <c r="AY149" t="inlineStr">
        <is>
          <t>2260880470002656</t>
        </is>
      </c>
      <c r="AZ149" t="inlineStr">
        <is>
          <t>BOOK</t>
        </is>
      </c>
      <c r="BC149" t="inlineStr">
        <is>
          <t>32285000927417</t>
        </is>
      </c>
      <c r="BD149" t="inlineStr">
        <is>
          <t>893775826</t>
        </is>
      </c>
    </row>
    <row r="150">
      <c r="A150" t="inlineStr">
        <is>
          <t>No</t>
        </is>
      </c>
      <c r="B150" t="inlineStr">
        <is>
          <t>BV2061 .M26</t>
        </is>
      </c>
      <c r="C150" t="inlineStr">
        <is>
          <t>0                      BV 2061000M  26</t>
        </is>
      </c>
      <c r="D150" t="inlineStr">
        <is>
          <t>The new missionary church / edited with an introduction by Frederick A, McGuire.</t>
        </is>
      </c>
      <c r="F150" t="inlineStr">
        <is>
          <t>No</t>
        </is>
      </c>
      <c r="G150" t="inlineStr">
        <is>
          <t>1</t>
        </is>
      </c>
      <c r="H150" t="inlineStr">
        <is>
          <t>No</t>
        </is>
      </c>
      <c r="I150" t="inlineStr">
        <is>
          <t>No</t>
        </is>
      </c>
      <c r="J150" t="inlineStr">
        <is>
          <t>0</t>
        </is>
      </c>
      <c r="K150" t="inlineStr">
        <is>
          <t>McGuire, Frederick A., 1905-, editor.</t>
        </is>
      </c>
      <c r="L150" t="inlineStr">
        <is>
          <t>Baltimore, Helicon [1964]</t>
        </is>
      </c>
      <c r="M150" t="inlineStr">
        <is>
          <t>1964</t>
        </is>
      </c>
      <c r="O150" t="inlineStr">
        <is>
          <t>eng</t>
        </is>
      </c>
      <c r="P150" t="inlineStr">
        <is>
          <t>mdu</t>
        </is>
      </c>
      <c r="R150" t="inlineStr">
        <is>
          <t xml:space="preserve">BV </t>
        </is>
      </c>
      <c r="S150" t="n">
        <v>3</v>
      </c>
      <c r="T150" t="n">
        <v>3</v>
      </c>
      <c r="U150" t="inlineStr">
        <is>
          <t>2003-11-01</t>
        </is>
      </c>
      <c r="V150" t="inlineStr">
        <is>
          <t>2003-11-01</t>
        </is>
      </c>
      <c r="W150" t="inlineStr">
        <is>
          <t>1992-02-03</t>
        </is>
      </c>
      <c r="X150" t="inlineStr">
        <is>
          <t>1992-02-03</t>
        </is>
      </c>
      <c r="Y150" t="n">
        <v>120</v>
      </c>
      <c r="Z150" t="n">
        <v>107</v>
      </c>
      <c r="AA150" t="n">
        <v>112</v>
      </c>
      <c r="AB150" t="n">
        <v>1</v>
      </c>
      <c r="AC150" t="n">
        <v>1</v>
      </c>
      <c r="AD150" t="n">
        <v>20</v>
      </c>
      <c r="AE150" t="n">
        <v>20</v>
      </c>
      <c r="AF150" t="n">
        <v>8</v>
      </c>
      <c r="AG150" t="n">
        <v>8</v>
      </c>
      <c r="AH150" t="n">
        <v>6</v>
      </c>
      <c r="AI150" t="n">
        <v>6</v>
      </c>
      <c r="AJ150" t="n">
        <v>15</v>
      </c>
      <c r="AK150" t="n">
        <v>15</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HYPERLINK("https://creighton-primo.hosted.exlibrisgroup.com/primo-explore/search?tab=default_tab&amp;search_scope=EVERYTHING&amp;vid=01CRU&amp;lang=en_US&amp;offset=0&amp;query=any,contains,991004221009702656","Catalog Record")</f>
        <v/>
      </c>
      <c r="AT150">
        <f>HYPERLINK("http://www.worldcat.org/oclc/2712571","WorldCat Record")</f>
        <v/>
      </c>
      <c r="AU150" t="inlineStr">
        <is>
          <t>10172012669:eng</t>
        </is>
      </c>
      <c r="AV150" t="inlineStr">
        <is>
          <t>2712571</t>
        </is>
      </c>
      <c r="AW150" t="inlineStr">
        <is>
          <t>991004221009702656</t>
        </is>
      </c>
      <c r="AX150" t="inlineStr">
        <is>
          <t>991004221009702656</t>
        </is>
      </c>
      <c r="AY150" t="inlineStr">
        <is>
          <t>2267334900002656</t>
        </is>
      </c>
      <c r="AZ150" t="inlineStr">
        <is>
          <t>BOOK</t>
        </is>
      </c>
      <c r="BC150" t="inlineStr">
        <is>
          <t>32285000927441</t>
        </is>
      </c>
      <c r="BD150" t="inlineStr">
        <is>
          <t>893506573</t>
        </is>
      </c>
    </row>
    <row r="151">
      <c r="A151" t="inlineStr">
        <is>
          <t>No</t>
        </is>
      </c>
      <c r="B151" t="inlineStr">
        <is>
          <t>BV2061 .R424 1976</t>
        </is>
      </c>
      <c r="C151" t="inlineStr">
        <is>
          <t>0                      BV 2061000R  424         1976</t>
        </is>
      </c>
      <c r="D151" t="inlineStr">
        <is>
          <t>Spirituality for mission : historical, theological, and cultural factors for a present-day missionary spirituality / Michael Collins Reilly.</t>
        </is>
      </c>
      <c r="F151" t="inlineStr">
        <is>
          <t>No</t>
        </is>
      </c>
      <c r="G151" t="inlineStr">
        <is>
          <t>1</t>
        </is>
      </c>
      <c r="H151" t="inlineStr">
        <is>
          <t>No</t>
        </is>
      </c>
      <c r="I151" t="inlineStr">
        <is>
          <t>No</t>
        </is>
      </c>
      <c r="J151" t="inlineStr">
        <is>
          <t>0</t>
        </is>
      </c>
      <c r="K151" t="inlineStr">
        <is>
          <t>Reilly, Michael Collins.</t>
        </is>
      </c>
      <c r="L151" t="inlineStr">
        <is>
          <t>Manila : Loyola School of Theology, c1976.</t>
        </is>
      </c>
      <c r="M151" t="inlineStr">
        <is>
          <t>1976</t>
        </is>
      </c>
      <c r="O151" t="inlineStr">
        <is>
          <t>eng</t>
        </is>
      </c>
      <c r="P151" t="inlineStr">
        <is>
          <t xml:space="preserve">ph </t>
        </is>
      </c>
      <c r="Q151" t="inlineStr">
        <is>
          <t>Logos ; 12</t>
        </is>
      </c>
      <c r="R151" t="inlineStr">
        <is>
          <t xml:space="preserve">BV </t>
        </is>
      </c>
      <c r="S151" t="n">
        <v>2</v>
      </c>
      <c r="T151" t="n">
        <v>2</v>
      </c>
      <c r="U151" t="inlineStr">
        <is>
          <t>1995-09-06</t>
        </is>
      </c>
      <c r="V151" t="inlineStr">
        <is>
          <t>1995-09-06</t>
        </is>
      </c>
      <c r="W151" t="inlineStr">
        <is>
          <t>1990-04-09</t>
        </is>
      </c>
      <c r="X151" t="inlineStr">
        <is>
          <t>1990-04-09</t>
        </is>
      </c>
      <c r="Y151" t="n">
        <v>27</v>
      </c>
      <c r="Z151" t="n">
        <v>20</v>
      </c>
      <c r="AA151" t="n">
        <v>155</v>
      </c>
      <c r="AB151" t="n">
        <v>1</v>
      </c>
      <c r="AC151" t="n">
        <v>2</v>
      </c>
      <c r="AD151" t="n">
        <v>0</v>
      </c>
      <c r="AE151" t="n">
        <v>18</v>
      </c>
      <c r="AF151" t="n">
        <v>0</v>
      </c>
      <c r="AG151" t="n">
        <v>5</v>
      </c>
      <c r="AH151" t="n">
        <v>0</v>
      </c>
      <c r="AI151" t="n">
        <v>5</v>
      </c>
      <c r="AJ151" t="n">
        <v>0</v>
      </c>
      <c r="AK151" t="n">
        <v>12</v>
      </c>
      <c r="AL151" t="n">
        <v>0</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HYPERLINK("https://creighton-primo.hosted.exlibrisgroup.com/primo-explore/search?tab=default_tab&amp;search_scope=EVERYTHING&amp;vid=01CRU&amp;lang=en_US&amp;offset=0&amp;query=any,contains,991004558309702656","Catalog Record")</f>
        <v/>
      </c>
      <c r="AT151">
        <f>HYPERLINK("http://www.worldcat.org/oclc/3980543","WorldCat Record")</f>
        <v/>
      </c>
      <c r="AU151" t="inlineStr">
        <is>
          <t>6834788:eng</t>
        </is>
      </c>
      <c r="AV151" t="inlineStr">
        <is>
          <t>3980543</t>
        </is>
      </c>
      <c r="AW151" t="inlineStr">
        <is>
          <t>991004558309702656</t>
        </is>
      </c>
      <c r="AX151" t="inlineStr">
        <is>
          <t>991004558309702656</t>
        </is>
      </c>
      <c r="AY151" t="inlineStr">
        <is>
          <t>2271934430002656</t>
        </is>
      </c>
      <c r="AZ151" t="inlineStr">
        <is>
          <t>BOOK</t>
        </is>
      </c>
      <c r="BC151" t="inlineStr">
        <is>
          <t>32285000113836</t>
        </is>
      </c>
      <c r="BD151" t="inlineStr">
        <is>
          <t>893235654</t>
        </is>
      </c>
    </row>
    <row r="152">
      <c r="A152" t="inlineStr">
        <is>
          <t>No</t>
        </is>
      </c>
      <c r="B152" t="inlineStr">
        <is>
          <t>BV2063 .C367 1985</t>
        </is>
      </c>
      <c r="C152" t="inlineStr">
        <is>
          <t>0                      BV 2063000C  367         1985</t>
        </is>
      </c>
      <c r="D152" t="inlineStr">
        <is>
          <t>Sent free : mission and unity in the perspective of the kingdom / Emilio Castro.</t>
        </is>
      </c>
      <c r="F152" t="inlineStr">
        <is>
          <t>No</t>
        </is>
      </c>
      <c r="G152" t="inlineStr">
        <is>
          <t>1</t>
        </is>
      </c>
      <c r="H152" t="inlineStr">
        <is>
          <t>No</t>
        </is>
      </c>
      <c r="I152" t="inlineStr">
        <is>
          <t>No</t>
        </is>
      </c>
      <c r="J152" t="inlineStr">
        <is>
          <t>0</t>
        </is>
      </c>
      <c r="K152" t="inlineStr">
        <is>
          <t>Castro, Emilio.</t>
        </is>
      </c>
      <c r="L152" t="inlineStr">
        <is>
          <t>Grand Rapids, Mich. : Eerdmans, 1985.</t>
        </is>
      </c>
      <c r="M152" t="inlineStr">
        <is>
          <t>1985</t>
        </is>
      </c>
      <c r="N152" t="inlineStr">
        <is>
          <t>American ed.</t>
        </is>
      </c>
      <c r="O152" t="inlineStr">
        <is>
          <t>eng</t>
        </is>
      </c>
      <c r="P152" t="inlineStr">
        <is>
          <t>miu</t>
        </is>
      </c>
      <c r="R152" t="inlineStr">
        <is>
          <t xml:space="preserve">BV </t>
        </is>
      </c>
      <c r="S152" t="n">
        <v>2</v>
      </c>
      <c r="T152" t="n">
        <v>2</v>
      </c>
      <c r="U152" t="inlineStr">
        <is>
          <t>2004-03-15</t>
        </is>
      </c>
      <c r="V152" t="inlineStr">
        <is>
          <t>2004-03-15</t>
        </is>
      </c>
      <c r="W152" t="inlineStr">
        <is>
          <t>1992-02-03</t>
        </is>
      </c>
      <c r="X152" t="inlineStr">
        <is>
          <t>1992-02-03</t>
        </is>
      </c>
      <c r="Y152" t="n">
        <v>135</v>
      </c>
      <c r="Z152" t="n">
        <v>107</v>
      </c>
      <c r="AA152" t="n">
        <v>187</v>
      </c>
      <c r="AB152" t="n">
        <v>3</v>
      </c>
      <c r="AC152" t="n">
        <v>3</v>
      </c>
      <c r="AD152" t="n">
        <v>4</v>
      </c>
      <c r="AE152" t="n">
        <v>7</v>
      </c>
      <c r="AF152" t="n">
        <v>1</v>
      </c>
      <c r="AG152" t="n">
        <v>1</v>
      </c>
      <c r="AH152" t="n">
        <v>0</v>
      </c>
      <c r="AI152" t="n">
        <v>1</v>
      </c>
      <c r="AJ152" t="n">
        <v>2</v>
      </c>
      <c r="AK152" t="n">
        <v>5</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HYPERLINK("https://creighton-primo.hosted.exlibrisgroup.com/primo-explore/search?tab=default_tab&amp;search_scope=EVERYTHING&amp;vid=01CRU&amp;lang=en_US&amp;offset=0&amp;query=any,contains,991000567219702656","Catalog Record")</f>
        <v/>
      </c>
      <c r="AT152">
        <f>HYPERLINK("http://www.worldcat.org/oclc/11622941","WorldCat Record")</f>
        <v/>
      </c>
      <c r="AU152" t="inlineStr">
        <is>
          <t>889791343:eng</t>
        </is>
      </c>
      <c r="AV152" t="inlineStr">
        <is>
          <t>11622941</t>
        </is>
      </c>
      <c r="AW152" t="inlineStr">
        <is>
          <t>991000567219702656</t>
        </is>
      </c>
      <c r="AX152" t="inlineStr">
        <is>
          <t>991000567219702656</t>
        </is>
      </c>
      <c r="AY152" t="inlineStr">
        <is>
          <t>2260751310002656</t>
        </is>
      </c>
      <c r="AZ152" t="inlineStr">
        <is>
          <t>BOOK</t>
        </is>
      </c>
      <c r="BB152" t="inlineStr">
        <is>
          <t>9780802800688</t>
        </is>
      </c>
      <c r="BC152" t="inlineStr">
        <is>
          <t>32285000927458</t>
        </is>
      </c>
      <c r="BD152" t="inlineStr">
        <is>
          <t>893231215</t>
        </is>
      </c>
    </row>
    <row r="153">
      <c r="A153" t="inlineStr">
        <is>
          <t>No</t>
        </is>
      </c>
      <c r="B153" t="inlineStr">
        <is>
          <t>BV2063 .D85</t>
        </is>
      </c>
      <c r="C153" t="inlineStr">
        <is>
          <t>0                      BV 2063000D  85</t>
        </is>
      </c>
      <c r="D153" t="inlineStr">
        <is>
          <t>Missionary theology : foundations in development / Edmond J. Dunn ; foreword by Richard P. McBrien.</t>
        </is>
      </c>
      <c r="F153" t="inlineStr">
        <is>
          <t>No</t>
        </is>
      </c>
      <c r="G153" t="inlineStr">
        <is>
          <t>1</t>
        </is>
      </c>
      <c r="H153" t="inlineStr">
        <is>
          <t>No</t>
        </is>
      </c>
      <c r="I153" t="inlineStr">
        <is>
          <t>No</t>
        </is>
      </c>
      <c r="J153" t="inlineStr">
        <is>
          <t>0</t>
        </is>
      </c>
      <c r="K153" t="inlineStr">
        <is>
          <t>Dunn, Edmond J.</t>
        </is>
      </c>
      <c r="L153" t="inlineStr">
        <is>
          <t>Lanham, MD : University Press of America, c1980.</t>
        </is>
      </c>
      <c r="M153" t="inlineStr">
        <is>
          <t>1980</t>
        </is>
      </c>
      <c r="O153" t="inlineStr">
        <is>
          <t>eng</t>
        </is>
      </c>
      <c r="P153" t="inlineStr">
        <is>
          <t>mdu</t>
        </is>
      </c>
      <c r="R153" t="inlineStr">
        <is>
          <t xml:space="preserve">BV </t>
        </is>
      </c>
      <c r="S153" t="n">
        <v>4</v>
      </c>
      <c r="T153" t="n">
        <v>4</v>
      </c>
      <c r="U153" t="inlineStr">
        <is>
          <t>2003-11-01</t>
        </is>
      </c>
      <c r="V153" t="inlineStr">
        <is>
          <t>2003-11-01</t>
        </is>
      </c>
      <c r="W153" t="inlineStr">
        <is>
          <t>1992-02-03</t>
        </is>
      </c>
      <c r="X153" t="inlineStr">
        <is>
          <t>1992-02-03</t>
        </is>
      </c>
      <c r="Y153" t="n">
        <v>163</v>
      </c>
      <c r="Z153" t="n">
        <v>137</v>
      </c>
      <c r="AA153" t="n">
        <v>137</v>
      </c>
      <c r="AB153" t="n">
        <v>2</v>
      </c>
      <c r="AC153" t="n">
        <v>2</v>
      </c>
      <c r="AD153" t="n">
        <v>11</v>
      </c>
      <c r="AE153" t="n">
        <v>11</v>
      </c>
      <c r="AF153" t="n">
        <v>0</v>
      </c>
      <c r="AG153" t="n">
        <v>0</v>
      </c>
      <c r="AH153" t="n">
        <v>3</v>
      </c>
      <c r="AI153" t="n">
        <v>3</v>
      </c>
      <c r="AJ153" t="n">
        <v>9</v>
      </c>
      <c r="AK153" t="n">
        <v>9</v>
      </c>
      <c r="AL153" t="n">
        <v>1</v>
      </c>
      <c r="AM153" t="n">
        <v>1</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HYPERLINK("https://creighton-primo.hosted.exlibrisgroup.com/primo-explore/search?tab=default_tab&amp;search_scope=EVERYTHING&amp;vid=01CRU&amp;lang=en_US&amp;offset=0&amp;query=any,contains,991005017629702656","Catalog Record")</f>
        <v/>
      </c>
      <c r="AT153">
        <f>HYPERLINK("http://www.worldcat.org/oclc/6627885","WorldCat Record")</f>
        <v/>
      </c>
      <c r="AU153" t="inlineStr">
        <is>
          <t>3857006535:eng</t>
        </is>
      </c>
      <c r="AV153" t="inlineStr">
        <is>
          <t>6627885</t>
        </is>
      </c>
      <c r="AW153" t="inlineStr">
        <is>
          <t>991005017629702656</t>
        </is>
      </c>
      <c r="AX153" t="inlineStr">
        <is>
          <t>991005017629702656</t>
        </is>
      </c>
      <c r="AY153" t="inlineStr">
        <is>
          <t>2255081920002656</t>
        </is>
      </c>
      <c r="AZ153" t="inlineStr">
        <is>
          <t>BOOK</t>
        </is>
      </c>
      <c r="BB153" t="inlineStr">
        <is>
          <t>9780819112095</t>
        </is>
      </c>
      <c r="BC153" t="inlineStr">
        <is>
          <t>32285000927466</t>
        </is>
      </c>
      <c r="BD153" t="inlineStr">
        <is>
          <t>893789316</t>
        </is>
      </c>
    </row>
    <row r="154">
      <c r="A154" t="inlineStr">
        <is>
          <t>No</t>
        </is>
      </c>
      <c r="B154" t="inlineStr">
        <is>
          <t>BV2063 .H45 1985</t>
        </is>
      </c>
      <c r="C154" t="inlineStr">
        <is>
          <t>0                      BV 2063000H  45          1985</t>
        </is>
      </c>
      <c r="D154" t="inlineStr">
        <is>
          <t>Anthropological insights for missionaries / Paul G. Hiebert.</t>
        </is>
      </c>
      <c r="F154" t="inlineStr">
        <is>
          <t>No</t>
        </is>
      </c>
      <c r="G154" t="inlineStr">
        <is>
          <t>1</t>
        </is>
      </c>
      <c r="H154" t="inlineStr">
        <is>
          <t>No</t>
        </is>
      </c>
      <c r="I154" t="inlineStr">
        <is>
          <t>No</t>
        </is>
      </c>
      <c r="J154" t="inlineStr">
        <is>
          <t>0</t>
        </is>
      </c>
      <c r="K154" t="inlineStr">
        <is>
          <t>Hiebert, Paul G., 1932-</t>
        </is>
      </c>
      <c r="L154" t="inlineStr">
        <is>
          <t>Grand Rapids, Mich. : Baker Book House, c1985.</t>
        </is>
      </c>
      <c r="M154" t="inlineStr">
        <is>
          <t>1985</t>
        </is>
      </c>
      <c r="O154" t="inlineStr">
        <is>
          <t>eng</t>
        </is>
      </c>
      <c r="P154" t="inlineStr">
        <is>
          <t>miu</t>
        </is>
      </c>
      <c r="R154" t="inlineStr">
        <is>
          <t xml:space="preserve">BV </t>
        </is>
      </c>
      <c r="S154" t="n">
        <v>1</v>
      </c>
      <c r="T154" t="n">
        <v>1</v>
      </c>
      <c r="U154" t="inlineStr">
        <is>
          <t>2003-06-25</t>
        </is>
      </c>
      <c r="V154" t="inlineStr">
        <is>
          <t>2003-06-25</t>
        </is>
      </c>
      <c r="W154" t="inlineStr">
        <is>
          <t>1992-02-03</t>
        </is>
      </c>
      <c r="X154" t="inlineStr">
        <is>
          <t>1992-02-03</t>
        </is>
      </c>
      <c r="Y154" t="n">
        <v>387</v>
      </c>
      <c r="Z154" t="n">
        <v>322</v>
      </c>
      <c r="AA154" t="n">
        <v>325</v>
      </c>
      <c r="AB154" t="n">
        <v>5</v>
      </c>
      <c r="AC154" t="n">
        <v>5</v>
      </c>
      <c r="AD154" t="n">
        <v>14</v>
      </c>
      <c r="AE154" t="n">
        <v>14</v>
      </c>
      <c r="AF154" t="n">
        <v>5</v>
      </c>
      <c r="AG154" t="n">
        <v>5</v>
      </c>
      <c r="AH154" t="n">
        <v>1</v>
      </c>
      <c r="AI154" t="n">
        <v>1</v>
      </c>
      <c r="AJ154" t="n">
        <v>5</v>
      </c>
      <c r="AK154" t="n">
        <v>5</v>
      </c>
      <c r="AL154" t="n">
        <v>4</v>
      </c>
      <c r="AM154" t="n">
        <v>4</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HYPERLINK("https://creighton-primo.hosted.exlibrisgroup.com/primo-explore/search?tab=default_tab&amp;search_scope=EVERYTHING&amp;vid=01CRU&amp;lang=en_US&amp;offset=0&amp;query=any,contains,991000765599702656","Catalog Record")</f>
        <v/>
      </c>
      <c r="AT154">
        <f>HYPERLINK("http://www.worldcat.org/oclc/12996201","WorldCat Record")</f>
        <v/>
      </c>
      <c r="AU154" t="inlineStr">
        <is>
          <t>5864081:eng</t>
        </is>
      </c>
      <c r="AV154" t="inlineStr">
        <is>
          <t>12996201</t>
        </is>
      </c>
      <c r="AW154" t="inlineStr">
        <is>
          <t>991000765599702656</t>
        </is>
      </c>
      <c r="AX154" t="inlineStr">
        <is>
          <t>991000765599702656</t>
        </is>
      </c>
      <c r="AY154" t="inlineStr">
        <is>
          <t>2266398330002656</t>
        </is>
      </c>
      <c r="AZ154" t="inlineStr">
        <is>
          <t>BOOK</t>
        </is>
      </c>
      <c r="BB154" t="inlineStr">
        <is>
          <t>9780801042911</t>
        </is>
      </c>
      <c r="BC154" t="inlineStr">
        <is>
          <t>32285000927474</t>
        </is>
      </c>
      <c r="BD154" t="inlineStr">
        <is>
          <t>893808808</t>
        </is>
      </c>
    </row>
    <row r="155">
      <c r="A155" t="inlineStr">
        <is>
          <t>No</t>
        </is>
      </c>
      <c r="B155" t="inlineStr">
        <is>
          <t>BV2063 .H48 1965</t>
        </is>
      </c>
      <c r="C155" t="inlineStr">
        <is>
          <t>0                      BV 2063000H  48          1965</t>
        </is>
      </c>
      <c r="D155" t="inlineStr">
        <is>
          <t>The Church as mission / by Eugene Hillman.</t>
        </is>
      </c>
      <c r="F155" t="inlineStr">
        <is>
          <t>No</t>
        </is>
      </c>
      <c r="G155" t="inlineStr">
        <is>
          <t>1</t>
        </is>
      </c>
      <c r="H155" t="inlineStr">
        <is>
          <t>No</t>
        </is>
      </c>
      <c r="I155" t="inlineStr">
        <is>
          <t>No</t>
        </is>
      </c>
      <c r="J155" t="inlineStr">
        <is>
          <t>0</t>
        </is>
      </c>
      <c r="K155" t="inlineStr">
        <is>
          <t>Hillman, Eugene.</t>
        </is>
      </c>
      <c r="L155" t="inlineStr">
        <is>
          <t>[New York] : Herder and Herder, [1965]</t>
        </is>
      </c>
      <c r="M155" t="inlineStr">
        <is>
          <t>1965</t>
        </is>
      </c>
      <c r="O155" t="inlineStr">
        <is>
          <t>eng</t>
        </is>
      </c>
      <c r="P155" t="inlineStr">
        <is>
          <t>nyu</t>
        </is>
      </c>
      <c r="R155" t="inlineStr">
        <is>
          <t xml:space="preserve">BV </t>
        </is>
      </c>
      <c r="S155" t="n">
        <v>2</v>
      </c>
      <c r="T155" t="n">
        <v>2</v>
      </c>
      <c r="U155" t="inlineStr">
        <is>
          <t>1996-07-18</t>
        </is>
      </c>
      <c r="V155" t="inlineStr">
        <is>
          <t>1996-07-18</t>
        </is>
      </c>
      <c r="W155" t="inlineStr">
        <is>
          <t>1992-02-03</t>
        </is>
      </c>
      <c r="X155" t="inlineStr">
        <is>
          <t>1992-02-03</t>
        </is>
      </c>
      <c r="Y155" t="n">
        <v>231</v>
      </c>
      <c r="Z155" t="n">
        <v>198</v>
      </c>
      <c r="AA155" t="n">
        <v>211</v>
      </c>
      <c r="AB155" t="n">
        <v>3</v>
      </c>
      <c r="AC155" t="n">
        <v>3</v>
      </c>
      <c r="AD155" t="n">
        <v>30</v>
      </c>
      <c r="AE155" t="n">
        <v>30</v>
      </c>
      <c r="AF155" t="n">
        <v>12</v>
      </c>
      <c r="AG155" t="n">
        <v>12</v>
      </c>
      <c r="AH155" t="n">
        <v>7</v>
      </c>
      <c r="AI155" t="n">
        <v>7</v>
      </c>
      <c r="AJ155" t="n">
        <v>22</v>
      </c>
      <c r="AK155" t="n">
        <v>22</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HYPERLINK("https://creighton-primo.hosted.exlibrisgroup.com/primo-explore/search?tab=default_tab&amp;search_scope=EVERYTHING&amp;vid=01CRU&amp;lang=en_US&amp;offset=0&amp;query=any,contains,991003894329702656","Catalog Record")</f>
        <v/>
      </c>
      <c r="AT155">
        <f>HYPERLINK("http://www.worldcat.org/oclc/1805450","WorldCat Record")</f>
        <v/>
      </c>
      <c r="AU155" t="inlineStr">
        <is>
          <t>2543785:eng</t>
        </is>
      </c>
      <c r="AV155" t="inlineStr">
        <is>
          <t>1805450</t>
        </is>
      </c>
      <c r="AW155" t="inlineStr">
        <is>
          <t>991003894329702656</t>
        </is>
      </c>
      <c r="AX155" t="inlineStr">
        <is>
          <t>991003894329702656</t>
        </is>
      </c>
      <c r="AY155" t="inlineStr">
        <is>
          <t>2269696820002656</t>
        </is>
      </c>
      <c r="AZ155" t="inlineStr">
        <is>
          <t>BOOK</t>
        </is>
      </c>
      <c r="BC155" t="inlineStr">
        <is>
          <t>32285000927482</t>
        </is>
      </c>
      <c r="BD155" t="inlineStr">
        <is>
          <t>893525389</t>
        </is>
      </c>
    </row>
    <row r="156">
      <c r="A156" t="inlineStr">
        <is>
          <t>No</t>
        </is>
      </c>
      <c r="B156" t="inlineStr">
        <is>
          <t>BV2063 .K76 1991</t>
        </is>
      </c>
      <c r="C156" t="inlineStr">
        <is>
          <t>0                      BV 2063000K  76          1991</t>
        </is>
      </c>
      <c r="D156" t="inlineStr">
        <is>
          <t>Mission today : contemporary themes in missiology / James H. Kroeger.</t>
        </is>
      </c>
      <c r="F156" t="inlineStr">
        <is>
          <t>No</t>
        </is>
      </c>
      <c r="G156" t="inlineStr">
        <is>
          <t>1</t>
        </is>
      </c>
      <c r="H156" t="inlineStr">
        <is>
          <t>No</t>
        </is>
      </c>
      <c r="I156" t="inlineStr">
        <is>
          <t>No</t>
        </is>
      </c>
      <c r="J156" t="inlineStr">
        <is>
          <t>0</t>
        </is>
      </c>
      <c r="K156" t="inlineStr">
        <is>
          <t>Kroeger, James H.</t>
        </is>
      </c>
      <c r="L156" t="inlineStr">
        <is>
          <t>Davao City, Philippines : Federation of Asian Bishops' Conferences and Mission Studies Institute, [1991]</t>
        </is>
      </c>
      <c r="M156" t="inlineStr">
        <is>
          <t>1991</t>
        </is>
      </c>
      <c r="O156" t="inlineStr">
        <is>
          <t>eng</t>
        </is>
      </c>
      <c r="P156" t="inlineStr">
        <is>
          <t xml:space="preserve">ph </t>
        </is>
      </c>
      <c r="Q156" t="inlineStr">
        <is>
          <t>FABC ; no 61</t>
        </is>
      </c>
      <c r="R156" t="inlineStr">
        <is>
          <t xml:space="preserve">BV </t>
        </is>
      </c>
      <c r="S156" t="n">
        <v>2</v>
      </c>
      <c r="T156" t="n">
        <v>2</v>
      </c>
      <c r="U156" t="inlineStr">
        <is>
          <t>1999-08-26</t>
        </is>
      </c>
      <c r="V156" t="inlineStr">
        <is>
          <t>1999-08-26</t>
        </is>
      </c>
      <c r="W156" t="inlineStr">
        <is>
          <t>1993-09-02</t>
        </is>
      </c>
      <c r="X156" t="inlineStr">
        <is>
          <t>1993-09-02</t>
        </is>
      </c>
      <c r="Y156" t="n">
        <v>23</v>
      </c>
      <c r="Z156" t="n">
        <v>20</v>
      </c>
      <c r="AA156" t="n">
        <v>21</v>
      </c>
      <c r="AB156" t="n">
        <v>1</v>
      </c>
      <c r="AC156" t="n">
        <v>1</v>
      </c>
      <c r="AD156" t="n">
        <v>5</v>
      </c>
      <c r="AE156" t="n">
        <v>5</v>
      </c>
      <c r="AF156" t="n">
        <v>1</v>
      </c>
      <c r="AG156" t="n">
        <v>1</v>
      </c>
      <c r="AH156" t="n">
        <v>1</v>
      </c>
      <c r="AI156" t="n">
        <v>1</v>
      </c>
      <c r="AJ156" t="n">
        <v>4</v>
      </c>
      <c r="AK156" t="n">
        <v>4</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HYPERLINK("https://creighton-primo.hosted.exlibrisgroup.com/primo-explore/search?tab=default_tab&amp;search_scope=EVERYTHING&amp;vid=01CRU&amp;lang=en_US&amp;offset=0&amp;query=any,contains,991001969499702656","Catalog Record")</f>
        <v/>
      </c>
      <c r="AT156">
        <f>HYPERLINK("http://www.worldcat.org/oclc/24958797","WorldCat Record")</f>
        <v/>
      </c>
      <c r="AU156" t="inlineStr">
        <is>
          <t>347239496:eng</t>
        </is>
      </c>
      <c r="AV156" t="inlineStr">
        <is>
          <t>24958797</t>
        </is>
      </c>
      <c r="AW156" t="inlineStr">
        <is>
          <t>991001969499702656</t>
        </is>
      </c>
      <c r="AX156" t="inlineStr">
        <is>
          <t>991001969499702656</t>
        </is>
      </c>
      <c r="AY156" t="inlineStr">
        <is>
          <t>2264860420002656</t>
        </is>
      </c>
      <c r="AZ156" t="inlineStr">
        <is>
          <t>BOOK</t>
        </is>
      </c>
      <c r="BC156" t="inlineStr">
        <is>
          <t>32285001729697</t>
        </is>
      </c>
      <c r="BD156" t="inlineStr">
        <is>
          <t>893891992</t>
        </is>
      </c>
    </row>
    <row r="157">
      <c r="A157" t="inlineStr">
        <is>
          <t>No</t>
        </is>
      </c>
      <c r="B157" t="inlineStr">
        <is>
          <t>BV2063 .T34 1999</t>
        </is>
      </c>
      <c r="C157" t="inlineStr">
        <is>
          <t>0                      BV 2063000T  34          1999</t>
        </is>
      </c>
      <c r="D157" t="inlineStr">
        <is>
          <t>The common task : a theology of Christian mission / M. Thomas Thangaraj.</t>
        </is>
      </c>
      <c r="F157" t="inlineStr">
        <is>
          <t>No</t>
        </is>
      </c>
      <c r="G157" t="inlineStr">
        <is>
          <t>1</t>
        </is>
      </c>
      <c r="H157" t="inlineStr">
        <is>
          <t>No</t>
        </is>
      </c>
      <c r="I157" t="inlineStr">
        <is>
          <t>No</t>
        </is>
      </c>
      <c r="J157" t="inlineStr">
        <is>
          <t>0</t>
        </is>
      </c>
      <c r="K157" t="inlineStr">
        <is>
          <t>Thangaraj, M. Thomas (Melchizedec Thomas)</t>
        </is>
      </c>
      <c r="L157" t="inlineStr">
        <is>
          <t>Nashville : Abingdon Press, c1999.</t>
        </is>
      </c>
      <c r="M157" t="inlineStr">
        <is>
          <t>1999</t>
        </is>
      </c>
      <c r="O157" t="inlineStr">
        <is>
          <t>eng</t>
        </is>
      </c>
      <c r="P157" t="inlineStr">
        <is>
          <t>tnu</t>
        </is>
      </c>
      <c r="R157" t="inlineStr">
        <is>
          <t xml:space="preserve">BV </t>
        </is>
      </c>
      <c r="S157" t="n">
        <v>1</v>
      </c>
      <c r="T157" t="n">
        <v>1</v>
      </c>
      <c r="U157" t="inlineStr">
        <is>
          <t>2003-11-01</t>
        </is>
      </c>
      <c r="V157" t="inlineStr">
        <is>
          <t>2003-11-01</t>
        </is>
      </c>
      <c r="W157" t="inlineStr">
        <is>
          <t>1999-11-04</t>
        </is>
      </c>
      <c r="X157" t="inlineStr">
        <is>
          <t>1999-11-04</t>
        </is>
      </c>
      <c r="Y157" t="n">
        <v>220</v>
      </c>
      <c r="Z157" t="n">
        <v>183</v>
      </c>
      <c r="AA157" t="n">
        <v>188</v>
      </c>
      <c r="AB157" t="n">
        <v>3</v>
      </c>
      <c r="AC157" t="n">
        <v>3</v>
      </c>
      <c r="AD157" t="n">
        <v>14</v>
      </c>
      <c r="AE157" t="n">
        <v>14</v>
      </c>
      <c r="AF157" t="n">
        <v>4</v>
      </c>
      <c r="AG157" t="n">
        <v>4</v>
      </c>
      <c r="AH157" t="n">
        <v>2</v>
      </c>
      <c r="AI157" t="n">
        <v>2</v>
      </c>
      <c r="AJ157" t="n">
        <v>8</v>
      </c>
      <c r="AK157" t="n">
        <v>8</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HYPERLINK("https://creighton-primo.hosted.exlibrisgroup.com/primo-explore/search?tab=default_tab&amp;search_scope=EVERYTHING&amp;vid=01CRU&amp;lang=en_US&amp;offset=0&amp;query=any,contains,991002971129702656","Catalog Record")</f>
        <v/>
      </c>
      <c r="AT157">
        <f>HYPERLINK("http://www.worldcat.org/oclc/39786261","WorldCat Record")</f>
        <v/>
      </c>
      <c r="AU157" t="inlineStr">
        <is>
          <t>20489400:eng</t>
        </is>
      </c>
      <c r="AV157" t="inlineStr">
        <is>
          <t>39786261</t>
        </is>
      </c>
      <c r="AW157" t="inlineStr">
        <is>
          <t>991002971129702656</t>
        </is>
      </c>
      <c r="AX157" t="inlineStr">
        <is>
          <t>991002971129702656</t>
        </is>
      </c>
      <c r="AY157" t="inlineStr">
        <is>
          <t>2270197360002656</t>
        </is>
      </c>
      <c r="AZ157" t="inlineStr">
        <is>
          <t>BOOK</t>
        </is>
      </c>
      <c r="BB157" t="inlineStr">
        <is>
          <t>9780687001446</t>
        </is>
      </c>
      <c r="BC157" t="inlineStr">
        <is>
          <t>32285003618054</t>
        </is>
      </c>
      <c r="BD157" t="inlineStr">
        <is>
          <t>893335975</t>
        </is>
      </c>
    </row>
    <row r="158">
      <c r="A158" t="inlineStr">
        <is>
          <t>No</t>
        </is>
      </c>
      <c r="B158" t="inlineStr">
        <is>
          <t>BV2070 .N48</t>
        </is>
      </c>
      <c r="C158" t="inlineStr">
        <is>
          <t>0                      BV 2070000N  48</t>
        </is>
      </c>
      <c r="D158" t="inlineStr">
        <is>
          <t>A New missionary era / edited by Padraig Flanagan.</t>
        </is>
      </c>
      <c r="F158" t="inlineStr">
        <is>
          <t>No</t>
        </is>
      </c>
      <c r="G158" t="inlineStr">
        <is>
          <t>1</t>
        </is>
      </c>
      <c r="H158" t="inlineStr">
        <is>
          <t>No</t>
        </is>
      </c>
      <c r="I158" t="inlineStr">
        <is>
          <t>No</t>
        </is>
      </c>
      <c r="J158" t="inlineStr">
        <is>
          <t>0</t>
        </is>
      </c>
      <c r="L158" t="inlineStr">
        <is>
          <t>Maryknoll, N.Y. : Orbis Books, 1982, c1979.</t>
        </is>
      </c>
      <c r="M158" t="inlineStr">
        <is>
          <t>1982</t>
        </is>
      </c>
      <c r="N158" t="inlineStr">
        <is>
          <t>Abridged U.S. ed.</t>
        </is>
      </c>
      <c r="O158" t="inlineStr">
        <is>
          <t>eng</t>
        </is>
      </c>
      <c r="P158" t="inlineStr">
        <is>
          <t>nyu</t>
        </is>
      </c>
      <c r="R158" t="inlineStr">
        <is>
          <t xml:space="preserve">BV </t>
        </is>
      </c>
      <c r="S158" t="n">
        <v>9</v>
      </c>
      <c r="T158" t="n">
        <v>9</v>
      </c>
      <c r="U158" t="inlineStr">
        <is>
          <t>2000-08-02</t>
        </is>
      </c>
      <c r="V158" t="inlineStr">
        <is>
          <t>2000-08-02</t>
        </is>
      </c>
      <c r="W158" t="inlineStr">
        <is>
          <t>1996-11-11</t>
        </is>
      </c>
      <c r="X158" t="inlineStr">
        <is>
          <t>1996-11-11</t>
        </is>
      </c>
      <c r="Y158" t="n">
        <v>153</v>
      </c>
      <c r="Z158" t="n">
        <v>124</v>
      </c>
      <c r="AA158" t="n">
        <v>125</v>
      </c>
      <c r="AB158" t="n">
        <v>1</v>
      </c>
      <c r="AC158" t="n">
        <v>1</v>
      </c>
      <c r="AD158" t="n">
        <v>12</v>
      </c>
      <c r="AE158" t="n">
        <v>12</v>
      </c>
      <c r="AF158" t="n">
        <v>3</v>
      </c>
      <c r="AG158" t="n">
        <v>3</v>
      </c>
      <c r="AH158" t="n">
        <v>4</v>
      </c>
      <c r="AI158" t="n">
        <v>4</v>
      </c>
      <c r="AJ158" t="n">
        <v>8</v>
      </c>
      <c r="AK158" t="n">
        <v>8</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HYPERLINK("https://creighton-primo.hosted.exlibrisgroup.com/primo-explore/search?tab=default_tab&amp;search_scope=EVERYTHING&amp;vid=01CRU&amp;lang=en_US&amp;offset=0&amp;query=any,contains,991005125669702656","Catalog Record")</f>
        <v/>
      </c>
      <c r="AT158">
        <f>HYPERLINK("http://www.worldcat.org/oclc/7553425","WorldCat Record")</f>
        <v/>
      </c>
      <c r="AU158" t="inlineStr">
        <is>
          <t>54446852:eng</t>
        </is>
      </c>
      <c r="AV158" t="inlineStr">
        <is>
          <t>7553425</t>
        </is>
      </c>
      <c r="AW158" t="inlineStr">
        <is>
          <t>991005125669702656</t>
        </is>
      </c>
      <c r="AX158" t="inlineStr">
        <is>
          <t>991005125669702656</t>
        </is>
      </c>
      <c r="AY158" t="inlineStr">
        <is>
          <t>2262777770002656</t>
        </is>
      </c>
      <c r="AZ158" t="inlineStr">
        <is>
          <t>BOOK</t>
        </is>
      </c>
      <c r="BB158" t="inlineStr">
        <is>
          <t>9780883443316</t>
        </is>
      </c>
      <c r="BC158" t="inlineStr">
        <is>
          <t>32285002121910</t>
        </is>
      </c>
      <c r="BD158" t="inlineStr">
        <is>
          <t>893242251</t>
        </is>
      </c>
    </row>
    <row r="159">
      <c r="A159" t="inlineStr">
        <is>
          <t>No</t>
        </is>
      </c>
      <c r="B159" t="inlineStr">
        <is>
          <t>BV2073 .C433 1960</t>
        </is>
      </c>
      <c r="C159" t="inlineStr">
        <is>
          <t>0                      BV 2073000C  433         1960</t>
        </is>
      </c>
      <c r="D159" t="inlineStr">
        <is>
          <t>Apostle and apostolate : according to the Gospel of St. Mathew / by Lucien Cerfaux. Translated by Donald D.Duggan.</t>
        </is>
      </c>
      <c r="F159" t="inlineStr">
        <is>
          <t>No</t>
        </is>
      </c>
      <c r="G159" t="inlineStr">
        <is>
          <t>1</t>
        </is>
      </c>
      <c r="H159" t="inlineStr">
        <is>
          <t>No</t>
        </is>
      </c>
      <c r="I159" t="inlineStr">
        <is>
          <t>No</t>
        </is>
      </c>
      <c r="J159" t="inlineStr">
        <is>
          <t>0</t>
        </is>
      </c>
      <c r="K159" t="inlineStr">
        <is>
          <t>Cerfaux, Lucien, 1883-1968.</t>
        </is>
      </c>
      <c r="L159" t="inlineStr">
        <is>
          <t>New York : Desclee Co., 1960.</t>
        </is>
      </c>
      <c r="M159" t="inlineStr">
        <is>
          <t>1960</t>
        </is>
      </c>
      <c r="O159" t="inlineStr">
        <is>
          <t>eng</t>
        </is>
      </c>
      <c r="P159" t="inlineStr">
        <is>
          <t>___</t>
        </is>
      </c>
      <c r="R159" t="inlineStr">
        <is>
          <t xml:space="preserve">BV </t>
        </is>
      </c>
      <c r="S159" t="n">
        <v>5</v>
      </c>
      <c r="T159" t="n">
        <v>5</v>
      </c>
      <c r="U159" t="inlineStr">
        <is>
          <t>1998-04-09</t>
        </is>
      </c>
      <c r="V159" t="inlineStr">
        <is>
          <t>1998-04-09</t>
        </is>
      </c>
      <c r="W159" t="inlineStr">
        <is>
          <t>1992-02-06</t>
        </is>
      </c>
      <c r="X159" t="inlineStr">
        <is>
          <t>1992-02-06</t>
        </is>
      </c>
      <c r="Y159" t="n">
        <v>202</v>
      </c>
      <c r="Z159" t="n">
        <v>166</v>
      </c>
      <c r="AA159" t="n">
        <v>174</v>
      </c>
      <c r="AB159" t="n">
        <v>2</v>
      </c>
      <c r="AC159" t="n">
        <v>2</v>
      </c>
      <c r="AD159" t="n">
        <v>26</v>
      </c>
      <c r="AE159" t="n">
        <v>26</v>
      </c>
      <c r="AF159" t="n">
        <v>10</v>
      </c>
      <c r="AG159" t="n">
        <v>10</v>
      </c>
      <c r="AH159" t="n">
        <v>7</v>
      </c>
      <c r="AI159" t="n">
        <v>7</v>
      </c>
      <c r="AJ159" t="n">
        <v>19</v>
      </c>
      <c r="AK159" t="n">
        <v>19</v>
      </c>
      <c r="AL159" t="n">
        <v>0</v>
      </c>
      <c r="AM159" t="n">
        <v>0</v>
      </c>
      <c r="AN159" t="n">
        <v>0</v>
      </c>
      <c r="AO159" t="n">
        <v>0</v>
      </c>
      <c r="AP159" t="inlineStr">
        <is>
          <t>No</t>
        </is>
      </c>
      <c r="AQ159" t="inlineStr">
        <is>
          <t>Yes</t>
        </is>
      </c>
      <c r="AR159">
        <f>HYPERLINK("http://catalog.hathitrust.org/Record/011237307","HathiTrust Record")</f>
        <v/>
      </c>
      <c r="AS159">
        <f>HYPERLINK("https://creighton-primo.hosted.exlibrisgroup.com/primo-explore/search?tab=default_tab&amp;search_scope=EVERYTHING&amp;vid=01CRU&amp;lang=en_US&amp;offset=0&amp;query=any,contains,991002663209702656","Catalog Record")</f>
        <v/>
      </c>
      <c r="AT159">
        <f>HYPERLINK("http://www.worldcat.org/oclc/392174","WorldCat Record")</f>
        <v/>
      </c>
      <c r="AU159" t="inlineStr">
        <is>
          <t>133291653:eng</t>
        </is>
      </c>
      <c r="AV159" t="inlineStr">
        <is>
          <t>392174</t>
        </is>
      </c>
      <c r="AW159" t="inlineStr">
        <is>
          <t>991002663209702656</t>
        </is>
      </c>
      <c r="AX159" t="inlineStr">
        <is>
          <t>991002663209702656</t>
        </is>
      </c>
      <c r="AY159" t="inlineStr">
        <is>
          <t>2263554930002656</t>
        </is>
      </c>
      <c r="AZ159" t="inlineStr">
        <is>
          <t>BOOK</t>
        </is>
      </c>
      <c r="BC159" t="inlineStr">
        <is>
          <t>32285000927532</t>
        </is>
      </c>
      <c r="BD159" t="inlineStr">
        <is>
          <t>893691853</t>
        </is>
      </c>
    </row>
    <row r="160">
      <c r="A160" t="inlineStr">
        <is>
          <t>No</t>
        </is>
      </c>
      <c r="B160" t="inlineStr">
        <is>
          <t>BV2073 .L27 1999</t>
        </is>
      </c>
      <c r="C160" t="inlineStr">
        <is>
          <t>0                      BV 2073000L  27          1999</t>
        </is>
      </c>
      <c r="D160" t="inlineStr">
        <is>
          <t>The earliest Christian mission to "all nations" : in the light of Matthew's Gospel / James LaGrand.</t>
        </is>
      </c>
      <c r="F160" t="inlineStr">
        <is>
          <t>No</t>
        </is>
      </c>
      <c r="G160" t="inlineStr">
        <is>
          <t>1</t>
        </is>
      </c>
      <c r="H160" t="inlineStr">
        <is>
          <t>No</t>
        </is>
      </c>
      <c r="I160" t="inlineStr">
        <is>
          <t>No</t>
        </is>
      </c>
      <c r="J160" t="inlineStr">
        <is>
          <t>0</t>
        </is>
      </c>
      <c r="K160" t="inlineStr">
        <is>
          <t>LaGrand, James.</t>
        </is>
      </c>
      <c r="L160" t="inlineStr">
        <is>
          <t>Grand Rapids, MI : W.B. Eerdmans Pub. Co., 1999.</t>
        </is>
      </c>
      <c r="M160" t="inlineStr">
        <is>
          <t>1999</t>
        </is>
      </c>
      <c r="O160" t="inlineStr">
        <is>
          <t>eng</t>
        </is>
      </c>
      <c r="P160" t="inlineStr">
        <is>
          <t>miu</t>
        </is>
      </c>
      <c r="R160" t="inlineStr">
        <is>
          <t xml:space="preserve">BV </t>
        </is>
      </c>
      <c r="S160" t="n">
        <v>6</v>
      </c>
      <c r="T160" t="n">
        <v>6</v>
      </c>
      <c r="U160" t="inlineStr">
        <is>
          <t>2003-11-01</t>
        </is>
      </c>
      <c r="V160" t="inlineStr">
        <is>
          <t>2003-11-01</t>
        </is>
      </c>
      <c r="W160" t="inlineStr">
        <is>
          <t>1999-11-11</t>
        </is>
      </c>
      <c r="X160" t="inlineStr">
        <is>
          <t>1999-11-11</t>
        </is>
      </c>
      <c r="Y160" t="n">
        <v>146</v>
      </c>
      <c r="Z160" t="n">
        <v>111</v>
      </c>
      <c r="AA160" t="n">
        <v>111</v>
      </c>
      <c r="AB160" t="n">
        <v>1</v>
      </c>
      <c r="AC160" t="n">
        <v>1</v>
      </c>
      <c r="AD160" t="n">
        <v>5</v>
      </c>
      <c r="AE160" t="n">
        <v>5</v>
      </c>
      <c r="AF160" t="n">
        <v>4</v>
      </c>
      <c r="AG160" t="n">
        <v>4</v>
      </c>
      <c r="AH160" t="n">
        <v>1</v>
      </c>
      <c r="AI160" t="n">
        <v>1</v>
      </c>
      <c r="AJ160" t="n">
        <v>2</v>
      </c>
      <c r="AK160" t="n">
        <v>2</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HYPERLINK("https://creighton-primo.hosted.exlibrisgroup.com/primo-explore/search?tab=default_tab&amp;search_scope=EVERYTHING&amp;vid=01CRU&amp;lang=en_US&amp;offset=0&amp;query=any,contains,991003019509702656","Catalog Record")</f>
        <v/>
      </c>
      <c r="AT160">
        <f>HYPERLINK("http://www.worldcat.org/oclc/41108621","WorldCat Record")</f>
        <v/>
      </c>
      <c r="AU160" t="inlineStr">
        <is>
          <t>10792229042:eng</t>
        </is>
      </c>
      <c r="AV160" t="inlineStr">
        <is>
          <t>41108621</t>
        </is>
      </c>
      <c r="AW160" t="inlineStr">
        <is>
          <t>991003019509702656</t>
        </is>
      </c>
      <c r="AX160" t="inlineStr">
        <is>
          <t>991003019509702656</t>
        </is>
      </c>
      <c r="AY160" t="inlineStr">
        <is>
          <t>2259791900002656</t>
        </is>
      </c>
      <c r="AZ160" t="inlineStr">
        <is>
          <t>BOOK</t>
        </is>
      </c>
      <c r="BB160" t="inlineStr">
        <is>
          <t>9780802846532</t>
        </is>
      </c>
      <c r="BC160" t="inlineStr">
        <is>
          <t>32285003620852</t>
        </is>
      </c>
      <c r="BD160" t="inlineStr">
        <is>
          <t>893717230</t>
        </is>
      </c>
    </row>
    <row r="161">
      <c r="A161" t="inlineStr">
        <is>
          <t>No</t>
        </is>
      </c>
      <c r="B161" t="inlineStr">
        <is>
          <t>BV2087 .M313 1963</t>
        </is>
      </c>
      <c r="C161" t="inlineStr">
        <is>
          <t>0                      BV 2087000M  313         1963</t>
        </is>
      </c>
      <c r="D161" t="inlineStr">
        <is>
          <t>Mission to mankind / edited and with an introduction by Frederick A. McGuire.</t>
        </is>
      </c>
      <c r="F161" t="inlineStr">
        <is>
          <t>No</t>
        </is>
      </c>
      <c r="G161" t="inlineStr">
        <is>
          <t>1</t>
        </is>
      </c>
      <c r="H161" t="inlineStr">
        <is>
          <t>No</t>
        </is>
      </c>
      <c r="I161" t="inlineStr">
        <is>
          <t>No</t>
        </is>
      </c>
      <c r="J161" t="inlineStr">
        <is>
          <t>0</t>
        </is>
      </c>
      <c r="K161" t="inlineStr">
        <is>
          <t>McGuire, Frederick A., 1905-, editor.</t>
        </is>
      </c>
      <c r="L161" t="inlineStr">
        <is>
          <t>New York : Random House, [1963]</t>
        </is>
      </c>
      <c r="M161" t="inlineStr">
        <is>
          <t>1963</t>
        </is>
      </c>
      <c r="O161" t="inlineStr">
        <is>
          <t>eng</t>
        </is>
      </c>
      <c r="P161" t="inlineStr">
        <is>
          <t xml:space="preserve">xx </t>
        </is>
      </c>
      <c r="R161" t="inlineStr">
        <is>
          <t xml:space="preserve">BV </t>
        </is>
      </c>
      <c r="S161" t="n">
        <v>6</v>
      </c>
      <c r="T161" t="n">
        <v>6</v>
      </c>
      <c r="U161" t="inlineStr">
        <is>
          <t>2005-04-30</t>
        </is>
      </c>
      <c r="V161" t="inlineStr">
        <is>
          <t>2005-04-30</t>
        </is>
      </c>
      <c r="W161" t="inlineStr">
        <is>
          <t>1992-02-06</t>
        </is>
      </c>
      <c r="X161" t="inlineStr">
        <is>
          <t>1992-02-06</t>
        </is>
      </c>
      <c r="Y161" t="n">
        <v>167</v>
      </c>
      <c r="Z161" t="n">
        <v>161</v>
      </c>
      <c r="AA161" t="n">
        <v>166</v>
      </c>
      <c r="AB161" t="n">
        <v>2</v>
      </c>
      <c r="AC161" t="n">
        <v>2</v>
      </c>
      <c r="AD161" t="n">
        <v>20</v>
      </c>
      <c r="AE161" t="n">
        <v>20</v>
      </c>
      <c r="AF161" t="n">
        <v>4</v>
      </c>
      <c r="AG161" t="n">
        <v>4</v>
      </c>
      <c r="AH161" t="n">
        <v>6</v>
      </c>
      <c r="AI161" t="n">
        <v>6</v>
      </c>
      <c r="AJ161" t="n">
        <v>16</v>
      </c>
      <c r="AK161" t="n">
        <v>16</v>
      </c>
      <c r="AL161" t="n">
        <v>1</v>
      </c>
      <c r="AM161" t="n">
        <v>1</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HYPERLINK("https://creighton-primo.hosted.exlibrisgroup.com/primo-explore/search?tab=default_tab&amp;search_scope=EVERYTHING&amp;vid=01CRU&amp;lang=en_US&amp;offset=0&amp;query=any,contains,991003750079702656","Catalog Record")</f>
        <v/>
      </c>
      <c r="AT161">
        <f>HYPERLINK("http://www.worldcat.org/oclc/1424973","WorldCat Record")</f>
        <v/>
      </c>
      <c r="AU161" t="inlineStr">
        <is>
          <t>2297241:eng</t>
        </is>
      </c>
      <c r="AV161" t="inlineStr">
        <is>
          <t>1424973</t>
        </is>
      </c>
      <c r="AW161" t="inlineStr">
        <is>
          <t>991003750079702656</t>
        </is>
      </c>
      <c r="AX161" t="inlineStr">
        <is>
          <t>991003750079702656</t>
        </is>
      </c>
      <c r="AY161" t="inlineStr">
        <is>
          <t>2271849160002656</t>
        </is>
      </c>
      <c r="AZ161" t="inlineStr">
        <is>
          <t>BOOK</t>
        </is>
      </c>
      <c r="BC161" t="inlineStr">
        <is>
          <t>32285000927557</t>
        </is>
      </c>
      <c r="BD161" t="inlineStr">
        <is>
          <t>893693108</t>
        </is>
      </c>
    </row>
    <row r="162">
      <c r="A162" t="inlineStr">
        <is>
          <t>No</t>
        </is>
      </c>
      <c r="B162" t="inlineStr">
        <is>
          <t>BV209 .S9 1987</t>
        </is>
      </c>
      <c r="C162" t="inlineStr">
        <is>
          <t>0                      BV 0209000S  9           1987</t>
        </is>
      </c>
      <c r="D162" t="inlineStr">
        <is>
          <t>The Syriac fathers on prayer and the spiritual life / introduced and translated by Sebastian Brock.</t>
        </is>
      </c>
      <c r="F162" t="inlineStr">
        <is>
          <t>No</t>
        </is>
      </c>
      <c r="G162" t="inlineStr">
        <is>
          <t>1</t>
        </is>
      </c>
      <c r="H162" t="inlineStr">
        <is>
          <t>No</t>
        </is>
      </c>
      <c r="I162" t="inlineStr">
        <is>
          <t>No</t>
        </is>
      </c>
      <c r="J162" t="inlineStr">
        <is>
          <t>0</t>
        </is>
      </c>
      <c r="L162" t="inlineStr">
        <is>
          <t>Kalamazoo, Mich. : Cistercian Publications, c1987.</t>
        </is>
      </c>
      <c r="M162" t="inlineStr">
        <is>
          <t>1987</t>
        </is>
      </c>
      <c r="O162" t="inlineStr">
        <is>
          <t>eng</t>
        </is>
      </c>
      <c r="P162" t="inlineStr">
        <is>
          <t>miu</t>
        </is>
      </c>
      <c r="Q162" t="inlineStr">
        <is>
          <t>CS ; 101</t>
        </is>
      </c>
      <c r="R162" t="inlineStr">
        <is>
          <t xml:space="preserve">BV </t>
        </is>
      </c>
      <c r="S162" t="n">
        <v>1</v>
      </c>
      <c r="T162" t="n">
        <v>1</v>
      </c>
      <c r="U162" t="inlineStr">
        <is>
          <t>2002-06-12</t>
        </is>
      </c>
      <c r="V162" t="inlineStr">
        <is>
          <t>2002-06-12</t>
        </is>
      </c>
      <c r="W162" t="inlineStr">
        <is>
          <t>1990-06-13</t>
        </is>
      </c>
      <c r="X162" t="inlineStr">
        <is>
          <t>1990-06-13</t>
        </is>
      </c>
      <c r="Y162" t="n">
        <v>321</v>
      </c>
      <c r="Z162" t="n">
        <v>246</v>
      </c>
      <c r="AA162" t="n">
        <v>253</v>
      </c>
      <c r="AB162" t="n">
        <v>1</v>
      </c>
      <c r="AC162" t="n">
        <v>1</v>
      </c>
      <c r="AD162" t="n">
        <v>26</v>
      </c>
      <c r="AE162" t="n">
        <v>26</v>
      </c>
      <c r="AF162" t="n">
        <v>7</v>
      </c>
      <c r="AG162" t="n">
        <v>7</v>
      </c>
      <c r="AH162" t="n">
        <v>7</v>
      </c>
      <c r="AI162" t="n">
        <v>7</v>
      </c>
      <c r="AJ162" t="n">
        <v>20</v>
      </c>
      <c r="AK162" t="n">
        <v>20</v>
      </c>
      <c r="AL162" t="n">
        <v>0</v>
      </c>
      <c r="AM162" t="n">
        <v>0</v>
      </c>
      <c r="AN162" t="n">
        <v>0</v>
      </c>
      <c r="AO162" t="n">
        <v>0</v>
      </c>
      <c r="AP162" t="inlineStr">
        <is>
          <t>No</t>
        </is>
      </c>
      <c r="AQ162" t="inlineStr">
        <is>
          <t>Yes</t>
        </is>
      </c>
      <c r="AR162">
        <f>HYPERLINK("http://catalog.hathitrust.org/Record/000902497","HathiTrust Record")</f>
        <v/>
      </c>
      <c r="AS162">
        <f>HYPERLINK("https://creighton-primo.hosted.exlibrisgroup.com/primo-explore/search?tab=default_tab&amp;search_scope=EVERYTHING&amp;vid=01CRU&amp;lang=en_US&amp;offset=0&amp;query=any,contains,991001016849702656","Catalog Record")</f>
        <v/>
      </c>
      <c r="AT162">
        <f>HYPERLINK("http://www.worldcat.org/oclc/15318114","WorldCat Record")</f>
        <v/>
      </c>
      <c r="AU162" t="inlineStr">
        <is>
          <t>54927882:eng</t>
        </is>
      </c>
      <c r="AV162" t="inlineStr">
        <is>
          <t>15318114</t>
        </is>
      </c>
      <c r="AW162" t="inlineStr">
        <is>
          <t>991001016849702656</t>
        </is>
      </c>
      <c r="AX162" t="inlineStr">
        <is>
          <t>991001016849702656</t>
        </is>
      </c>
      <c r="AY162" t="inlineStr">
        <is>
          <t>2258894640002656</t>
        </is>
      </c>
      <c r="AZ162" t="inlineStr">
        <is>
          <t>BOOK</t>
        </is>
      </c>
      <c r="BB162" t="inlineStr">
        <is>
          <t>9780879079017</t>
        </is>
      </c>
      <c r="BC162" t="inlineStr">
        <is>
          <t>32285000177484</t>
        </is>
      </c>
      <c r="BD162" t="inlineStr">
        <is>
          <t>893589949</t>
        </is>
      </c>
    </row>
    <row r="163">
      <c r="A163" t="inlineStr">
        <is>
          <t>No</t>
        </is>
      </c>
      <c r="B163" t="inlineStr">
        <is>
          <t>BV209.B7 C33 1949</t>
        </is>
      </c>
      <c r="C163" t="inlineStr">
        <is>
          <t>0                      BV 0209000B  7                  C  33          1949</t>
        </is>
      </c>
      <c r="D163" t="inlineStr">
        <is>
          <t>On prayer : spiritual instructions on the various states of prayer according to the doctrine of Bossuet, Bishop of Meaux / by Jean Pierre de Caussade ; translated into English by Algar Thorold ; with an introduction by Abbot John Chapman ; and a preface by Ludovic de Besse.</t>
        </is>
      </c>
      <c r="F163" t="inlineStr">
        <is>
          <t>No</t>
        </is>
      </c>
      <c r="G163" t="inlineStr">
        <is>
          <t>1</t>
        </is>
      </c>
      <c r="H163" t="inlineStr">
        <is>
          <t>No</t>
        </is>
      </c>
      <c r="I163" t="inlineStr">
        <is>
          <t>No</t>
        </is>
      </c>
      <c r="J163" t="inlineStr">
        <is>
          <t>0</t>
        </is>
      </c>
      <c r="K163" t="inlineStr">
        <is>
          <t>Caussade, Jean Pierre de, -1751.</t>
        </is>
      </c>
      <c r="L163" t="inlineStr">
        <is>
          <t>London : Burns &amp; Oates, 1949.</t>
        </is>
      </c>
      <c r="M163" t="inlineStr">
        <is>
          <t>1949</t>
        </is>
      </c>
      <c r="N163" t="inlineStr">
        <is>
          <t>2d rev. ed.</t>
        </is>
      </c>
      <c r="O163" t="inlineStr">
        <is>
          <t>eng</t>
        </is>
      </c>
      <c r="P163" t="inlineStr">
        <is>
          <t>enk</t>
        </is>
      </c>
      <c r="R163" t="inlineStr">
        <is>
          <t xml:space="preserve">BV </t>
        </is>
      </c>
      <c r="S163" t="n">
        <v>4</v>
      </c>
      <c r="T163" t="n">
        <v>4</v>
      </c>
      <c r="U163" t="inlineStr">
        <is>
          <t>2003-05-19</t>
        </is>
      </c>
      <c r="V163" t="inlineStr">
        <is>
          <t>2003-05-19</t>
        </is>
      </c>
      <c r="W163" t="inlineStr">
        <is>
          <t>1991-11-25</t>
        </is>
      </c>
      <c r="X163" t="inlineStr">
        <is>
          <t>1991-11-25</t>
        </is>
      </c>
      <c r="Y163" t="n">
        <v>75</v>
      </c>
      <c r="Z163" t="n">
        <v>51</v>
      </c>
      <c r="AA163" t="n">
        <v>142</v>
      </c>
      <c r="AB163" t="n">
        <v>2</v>
      </c>
      <c r="AC163" t="n">
        <v>3</v>
      </c>
      <c r="AD163" t="n">
        <v>15</v>
      </c>
      <c r="AE163" t="n">
        <v>22</v>
      </c>
      <c r="AF163" t="n">
        <v>3</v>
      </c>
      <c r="AG163" t="n">
        <v>4</v>
      </c>
      <c r="AH163" t="n">
        <v>4</v>
      </c>
      <c r="AI163" t="n">
        <v>5</v>
      </c>
      <c r="AJ163" t="n">
        <v>13</v>
      </c>
      <c r="AK163" t="n">
        <v>20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HYPERLINK("https://creighton-primo.hosted.exlibrisgroup.com/primo-explore/search?tab=default_tab&amp;search_scope=EVERYTHING&amp;vid=01CRU&amp;lang=en_US&amp;offset=0&amp;query=any,contains,991004183529702656","Catalog Record")</f>
        <v/>
      </c>
      <c r="AT163">
        <f>HYPERLINK("http://www.worldcat.org/oclc/2611836","WorldCat Record")</f>
        <v/>
      </c>
      <c r="AU163" t="inlineStr">
        <is>
          <t>47096273:eng</t>
        </is>
      </c>
      <c r="AV163" t="inlineStr">
        <is>
          <t>2611836</t>
        </is>
      </c>
      <c r="AW163" t="inlineStr">
        <is>
          <t>991004183529702656</t>
        </is>
      </c>
      <c r="AX163" t="inlineStr">
        <is>
          <t>991004183529702656</t>
        </is>
      </c>
      <c r="AY163" t="inlineStr">
        <is>
          <t>2272744810002656</t>
        </is>
      </c>
      <c r="AZ163" t="inlineStr">
        <is>
          <t>BOOK</t>
        </is>
      </c>
      <c r="BC163" t="inlineStr">
        <is>
          <t>32285000836196</t>
        </is>
      </c>
      <c r="BD163" t="inlineStr">
        <is>
          <t>893900923</t>
        </is>
      </c>
    </row>
    <row r="164">
      <c r="A164" t="inlineStr">
        <is>
          <t>No</t>
        </is>
      </c>
      <c r="B164" t="inlineStr">
        <is>
          <t>BV2090 .T45 2001</t>
        </is>
      </c>
      <c r="C164" t="inlineStr">
        <is>
          <t>0                      BV 2090000T  45          2001</t>
        </is>
      </c>
      <c r="D164" t="inlineStr">
        <is>
          <t>Telling God's story : National Mission Congress 2000, resources and documents / Episcopal Commission on Mission, Catholic Bishops' Conference of the Philippines ; James H. Kroeger, general editor.</t>
        </is>
      </c>
      <c r="F164" t="inlineStr">
        <is>
          <t>No</t>
        </is>
      </c>
      <c r="G164" t="inlineStr">
        <is>
          <t>1</t>
        </is>
      </c>
      <c r="H164" t="inlineStr">
        <is>
          <t>No</t>
        </is>
      </c>
      <c r="I164" t="inlineStr">
        <is>
          <t>No</t>
        </is>
      </c>
      <c r="J164" t="inlineStr">
        <is>
          <t>0</t>
        </is>
      </c>
      <c r="L164" t="inlineStr">
        <is>
          <t>Quezon City, Philippines : Claretian Publications, c2001.</t>
        </is>
      </c>
      <c r="M164" t="inlineStr">
        <is>
          <t>2001</t>
        </is>
      </c>
      <c r="O164" t="inlineStr">
        <is>
          <t>eng</t>
        </is>
      </c>
      <c r="P164" t="inlineStr">
        <is>
          <t xml:space="preserve">ph </t>
        </is>
      </c>
      <c r="R164" t="inlineStr">
        <is>
          <t xml:space="preserve">BV </t>
        </is>
      </c>
      <c r="S164" t="n">
        <v>4</v>
      </c>
      <c r="T164" t="n">
        <v>4</v>
      </c>
      <c r="U164" t="inlineStr">
        <is>
          <t>2003-06-25</t>
        </is>
      </c>
      <c r="V164" t="inlineStr">
        <is>
          <t>2003-06-25</t>
        </is>
      </c>
      <c r="W164" t="inlineStr">
        <is>
          <t>2001-06-19</t>
        </is>
      </c>
      <c r="X164" t="inlineStr">
        <is>
          <t>2001-06-19</t>
        </is>
      </c>
      <c r="Y164" t="n">
        <v>74</v>
      </c>
      <c r="Z164" t="n">
        <v>64</v>
      </c>
      <c r="AA164" t="n">
        <v>64</v>
      </c>
      <c r="AB164" t="n">
        <v>1</v>
      </c>
      <c r="AC164" t="n">
        <v>1</v>
      </c>
      <c r="AD164" t="n">
        <v>14</v>
      </c>
      <c r="AE164" t="n">
        <v>14</v>
      </c>
      <c r="AF164" t="n">
        <v>3</v>
      </c>
      <c r="AG164" t="n">
        <v>3</v>
      </c>
      <c r="AH164" t="n">
        <v>3</v>
      </c>
      <c r="AI164" t="n">
        <v>3</v>
      </c>
      <c r="AJ164" t="n">
        <v>12</v>
      </c>
      <c r="AK164" t="n">
        <v>12</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HYPERLINK("https://creighton-primo.hosted.exlibrisgroup.com/primo-explore/search?tab=default_tab&amp;search_scope=EVERYTHING&amp;vid=01CRU&amp;lang=en_US&amp;offset=0&amp;query=any,contains,991003545359702656","Catalog Record")</f>
        <v/>
      </c>
      <c r="AT164">
        <f>HYPERLINK("http://www.worldcat.org/oclc/47093440","WorldCat Record")</f>
        <v/>
      </c>
      <c r="AU164" t="inlineStr">
        <is>
          <t>36518666:eng</t>
        </is>
      </c>
      <c r="AV164" t="inlineStr">
        <is>
          <t>47093440</t>
        </is>
      </c>
      <c r="AW164" t="inlineStr">
        <is>
          <t>991003545359702656</t>
        </is>
      </c>
      <c r="AX164" t="inlineStr">
        <is>
          <t>991003545359702656</t>
        </is>
      </c>
      <c r="AY164" t="inlineStr">
        <is>
          <t>2271864220002656</t>
        </is>
      </c>
      <c r="AZ164" t="inlineStr">
        <is>
          <t>BOOK</t>
        </is>
      </c>
      <c r="BB164" t="inlineStr">
        <is>
          <t>9789715018913</t>
        </is>
      </c>
      <c r="BC164" t="inlineStr">
        <is>
          <t>32285004325535</t>
        </is>
      </c>
      <c r="BD164" t="inlineStr">
        <is>
          <t>893416494</t>
        </is>
      </c>
    </row>
    <row r="165">
      <c r="A165" t="inlineStr">
        <is>
          <t>No</t>
        </is>
      </c>
      <c r="B165" t="inlineStr">
        <is>
          <t>BV2090 .T452 2000</t>
        </is>
      </c>
      <c r="C165" t="inlineStr">
        <is>
          <t>0                      BV 2090000T  452         2000</t>
        </is>
      </c>
      <c r="D165" t="inlineStr">
        <is>
          <t>Tell the world : catechetical modules for mission animation / Episcopal Commission on Mission, Catholic Bishops' Conference of the Philippines ; [general editor, James H. Kroeger]</t>
        </is>
      </c>
      <c r="F165" t="inlineStr">
        <is>
          <t>No</t>
        </is>
      </c>
      <c r="G165" t="inlineStr">
        <is>
          <t>1</t>
        </is>
      </c>
      <c r="H165" t="inlineStr">
        <is>
          <t>No</t>
        </is>
      </c>
      <c r="I165" t="inlineStr">
        <is>
          <t>No</t>
        </is>
      </c>
      <c r="J165" t="inlineStr">
        <is>
          <t>0</t>
        </is>
      </c>
      <c r="L165" t="inlineStr">
        <is>
          <t>Quezon City, Philippines : Claretian Publications, c2000.</t>
        </is>
      </c>
      <c r="M165" t="inlineStr">
        <is>
          <t>2000</t>
        </is>
      </c>
      <c r="O165" t="inlineStr">
        <is>
          <t>eng</t>
        </is>
      </c>
      <c r="P165" t="inlineStr">
        <is>
          <t xml:space="preserve">ph </t>
        </is>
      </c>
      <c r="R165" t="inlineStr">
        <is>
          <t xml:space="preserve">BV </t>
        </is>
      </c>
      <c r="S165" t="n">
        <v>3</v>
      </c>
      <c r="T165" t="n">
        <v>3</v>
      </c>
      <c r="U165" t="inlineStr">
        <is>
          <t>2003-06-25</t>
        </is>
      </c>
      <c r="V165" t="inlineStr">
        <is>
          <t>2003-06-25</t>
        </is>
      </c>
      <c r="W165" t="inlineStr">
        <is>
          <t>2001-06-19</t>
        </is>
      </c>
      <c r="X165" t="inlineStr">
        <is>
          <t>2001-06-19</t>
        </is>
      </c>
      <c r="Y165" t="n">
        <v>48</v>
      </c>
      <c r="Z165" t="n">
        <v>43</v>
      </c>
      <c r="AA165" t="n">
        <v>43</v>
      </c>
      <c r="AB165" t="n">
        <v>1</v>
      </c>
      <c r="AC165" t="n">
        <v>1</v>
      </c>
      <c r="AD165" t="n">
        <v>8</v>
      </c>
      <c r="AE165" t="n">
        <v>8</v>
      </c>
      <c r="AF165" t="n">
        <v>1</v>
      </c>
      <c r="AG165" t="n">
        <v>1</v>
      </c>
      <c r="AH165" t="n">
        <v>0</v>
      </c>
      <c r="AI165" t="n">
        <v>0</v>
      </c>
      <c r="AJ165" t="n">
        <v>8</v>
      </c>
      <c r="AK165" t="n">
        <v>8</v>
      </c>
      <c r="AL165" t="n">
        <v>0</v>
      </c>
      <c r="AM165" t="n">
        <v>0</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HYPERLINK("https://creighton-primo.hosted.exlibrisgroup.com/primo-explore/search?tab=default_tab&amp;search_scope=EVERYTHING&amp;vid=01CRU&amp;lang=en_US&amp;offset=0&amp;query=any,contains,991003545329702656","Catalog Record")</f>
        <v/>
      </c>
      <c r="AT165">
        <f>HYPERLINK("http://www.worldcat.org/oclc/47093462","WorldCat Record")</f>
        <v/>
      </c>
      <c r="AU165" t="inlineStr">
        <is>
          <t>9093741704:eng</t>
        </is>
      </c>
      <c r="AV165" t="inlineStr">
        <is>
          <t>47093462</t>
        </is>
      </c>
      <c r="AW165" t="inlineStr">
        <is>
          <t>991003545329702656</t>
        </is>
      </c>
      <c r="AX165" t="inlineStr">
        <is>
          <t>991003545329702656</t>
        </is>
      </c>
      <c r="AY165" t="inlineStr">
        <is>
          <t>2271831450002656</t>
        </is>
      </c>
      <c r="AZ165" t="inlineStr">
        <is>
          <t>BOOK</t>
        </is>
      </c>
      <c r="BB165" t="inlineStr">
        <is>
          <t>9789715018722</t>
        </is>
      </c>
      <c r="BC165" t="inlineStr">
        <is>
          <t>32285004325485</t>
        </is>
      </c>
      <c r="BD165" t="inlineStr">
        <is>
          <t>893592610</t>
        </is>
      </c>
    </row>
    <row r="166">
      <c r="A166" t="inlineStr">
        <is>
          <t>No</t>
        </is>
      </c>
      <c r="B166" t="inlineStr">
        <is>
          <t>BV210 .C6883 1962</t>
        </is>
      </c>
      <c r="C166" t="inlineStr">
        <is>
          <t>0                      BV 0210000C  6883        1962</t>
        </is>
      </c>
      <c r="D166" t="inlineStr">
        <is>
          <t>The meaning of prayer / Louis Colin. Translated by Francis X. Moan.</t>
        </is>
      </c>
      <c r="F166" t="inlineStr">
        <is>
          <t>No</t>
        </is>
      </c>
      <c r="G166" t="inlineStr">
        <is>
          <t>1</t>
        </is>
      </c>
      <c r="H166" t="inlineStr">
        <is>
          <t>No</t>
        </is>
      </c>
      <c r="I166" t="inlineStr">
        <is>
          <t>No</t>
        </is>
      </c>
      <c r="J166" t="inlineStr">
        <is>
          <t>0</t>
        </is>
      </c>
      <c r="K166" t="inlineStr">
        <is>
          <t>Colin, L. (Louis), 1884-</t>
        </is>
      </c>
      <c r="L166" t="inlineStr">
        <is>
          <t>Westminster, Md. : Newman Press, 1962.</t>
        </is>
      </c>
      <c r="M166" t="inlineStr">
        <is>
          <t>1962</t>
        </is>
      </c>
      <c r="O166" t="inlineStr">
        <is>
          <t>eng</t>
        </is>
      </c>
      <c r="P166" t="inlineStr">
        <is>
          <t>mdu</t>
        </is>
      </c>
      <c r="R166" t="inlineStr">
        <is>
          <t xml:space="preserve">BV </t>
        </is>
      </c>
      <c r="S166" t="n">
        <v>5</v>
      </c>
      <c r="T166" t="n">
        <v>5</v>
      </c>
      <c r="U166" t="inlineStr">
        <is>
          <t>2003-07-29</t>
        </is>
      </c>
      <c r="V166" t="inlineStr">
        <is>
          <t>2003-07-29</t>
        </is>
      </c>
      <c r="W166" t="inlineStr">
        <is>
          <t>1991-12-13</t>
        </is>
      </c>
      <c r="X166" t="inlineStr">
        <is>
          <t>1991-12-13</t>
        </is>
      </c>
      <c r="Y166" t="n">
        <v>94</v>
      </c>
      <c r="Z166" t="n">
        <v>84</v>
      </c>
      <c r="AA166" t="n">
        <v>89</v>
      </c>
      <c r="AB166" t="n">
        <v>2</v>
      </c>
      <c r="AC166" t="n">
        <v>2</v>
      </c>
      <c r="AD166" t="n">
        <v>14</v>
      </c>
      <c r="AE166" t="n">
        <v>14</v>
      </c>
      <c r="AF166" t="n">
        <v>4</v>
      </c>
      <c r="AG166" t="n">
        <v>4</v>
      </c>
      <c r="AH166" t="n">
        <v>4</v>
      </c>
      <c r="AI166" t="n">
        <v>4</v>
      </c>
      <c r="AJ166" t="n">
        <v>11</v>
      </c>
      <c r="AK166" t="n">
        <v>11</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HYPERLINK("https://creighton-primo.hosted.exlibrisgroup.com/primo-explore/search?tab=default_tab&amp;search_scope=EVERYTHING&amp;vid=01CRU&amp;lang=en_US&amp;offset=0&amp;query=any,contains,991004143209702656","Catalog Record")</f>
        <v/>
      </c>
      <c r="AT166">
        <f>HYPERLINK("http://www.worldcat.org/oclc/2504481","WorldCat Record")</f>
        <v/>
      </c>
      <c r="AU166" t="inlineStr">
        <is>
          <t>294070440:eng</t>
        </is>
      </c>
      <c r="AV166" t="inlineStr">
        <is>
          <t>2504481</t>
        </is>
      </c>
      <c r="AW166" t="inlineStr">
        <is>
          <t>991004143209702656</t>
        </is>
      </c>
      <c r="AX166" t="inlineStr">
        <is>
          <t>991004143209702656</t>
        </is>
      </c>
      <c r="AY166" t="inlineStr">
        <is>
          <t>2258732880002656</t>
        </is>
      </c>
      <c r="AZ166" t="inlineStr">
        <is>
          <t>BOOK</t>
        </is>
      </c>
      <c r="BC166" t="inlineStr">
        <is>
          <t>32285000895457</t>
        </is>
      </c>
      <c r="BD166" t="inlineStr">
        <is>
          <t>893722290</t>
        </is>
      </c>
    </row>
    <row r="167">
      <c r="A167" t="inlineStr">
        <is>
          <t>No</t>
        </is>
      </c>
      <c r="B167" t="inlineStr">
        <is>
          <t>BV210 .G6963 1952</t>
        </is>
      </c>
      <c r="C167" t="inlineStr">
        <is>
          <t>0                      BV 0210000G  6963        1952</t>
        </is>
      </c>
      <c r="D167" t="inlineStr">
        <is>
          <t>Lord, teach us how to pray / translated from the German of Richard Gräf by Sister Mary Hildegard Windecker.</t>
        </is>
      </c>
      <c r="F167" t="inlineStr">
        <is>
          <t>No</t>
        </is>
      </c>
      <c r="G167" t="inlineStr">
        <is>
          <t>1</t>
        </is>
      </c>
      <c r="H167" t="inlineStr">
        <is>
          <t>No</t>
        </is>
      </c>
      <c r="I167" t="inlineStr">
        <is>
          <t>No</t>
        </is>
      </c>
      <c r="J167" t="inlineStr">
        <is>
          <t>0</t>
        </is>
      </c>
      <c r="K167" t="inlineStr">
        <is>
          <t>Gräf, Richard, 1899-</t>
        </is>
      </c>
      <c r="L167" t="inlineStr">
        <is>
          <t>New York : F. Pustet Co., 1952.</t>
        </is>
      </c>
      <c r="M167" t="inlineStr">
        <is>
          <t>1952</t>
        </is>
      </c>
      <c r="O167" t="inlineStr">
        <is>
          <t>eng</t>
        </is>
      </c>
      <c r="P167" t="inlineStr">
        <is>
          <t>nyu</t>
        </is>
      </c>
      <c r="R167" t="inlineStr">
        <is>
          <t xml:space="preserve">BV </t>
        </is>
      </c>
      <c r="S167" t="n">
        <v>2</v>
      </c>
      <c r="T167" t="n">
        <v>2</v>
      </c>
      <c r="U167" t="inlineStr">
        <is>
          <t>2003-07-29</t>
        </is>
      </c>
      <c r="V167" t="inlineStr">
        <is>
          <t>2003-07-29</t>
        </is>
      </c>
      <c r="W167" t="inlineStr">
        <is>
          <t>1991-11-25</t>
        </is>
      </c>
      <c r="X167" t="inlineStr">
        <is>
          <t>1991-11-25</t>
        </is>
      </c>
      <c r="Y167" t="n">
        <v>26</v>
      </c>
      <c r="Z167" t="n">
        <v>25</v>
      </c>
      <c r="AA167" t="n">
        <v>25</v>
      </c>
      <c r="AB167" t="n">
        <v>1</v>
      </c>
      <c r="AC167" t="n">
        <v>1</v>
      </c>
      <c r="AD167" t="n">
        <v>6</v>
      </c>
      <c r="AE167" t="n">
        <v>6</v>
      </c>
      <c r="AF167" t="n">
        <v>0</v>
      </c>
      <c r="AG167" t="n">
        <v>0</v>
      </c>
      <c r="AH167" t="n">
        <v>3</v>
      </c>
      <c r="AI167" t="n">
        <v>3</v>
      </c>
      <c r="AJ167" t="n">
        <v>4</v>
      </c>
      <c r="AK167" t="n">
        <v>4</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HYPERLINK("https://creighton-primo.hosted.exlibrisgroup.com/primo-explore/search?tab=default_tab&amp;search_scope=EVERYTHING&amp;vid=01CRU&amp;lang=en_US&amp;offset=0&amp;query=any,contains,991005069359702656","Catalog Record")</f>
        <v/>
      </c>
      <c r="AT167">
        <f>HYPERLINK("http://www.worldcat.org/oclc/6998953","WorldCat Record")</f>
        <v/>
      </c>
      <c r="AU167" t="inlineStr">
        <is>
          <t>25275626:eng</t>
        </is>
      </c>
      <c r="AV167" t="inlineStr">
        <is>
          <t>6998953</t>
        </is>
      </c>
      <c r="AW167" t="inlineStr">
        <is>
          <t>991005069359702656</t>
        </is>
      </c>
      <c r="AX167" t="inlineStr">
        <is>
          <t>991005069359702656</t>
        </is>
      </c>
      <c r="AY167" t="inlineStr">
        <is>
          <t>2270614780002656</t>
        </is>
      </c>
      <c r="AZ167" t="inlineStr">
        <is>
          <t>BOOK</t>
        </is>
      </c>
      <c r="BC167" t="inlineStr">
        <is>
          <t>32285000836212</t>
        </is>
      </c>
      <c r="BD167" t="inlineStr">
        <is>
          <t>893895800</t>
        </is>
      </c>
    </row>
    <row r="168">
      <c r="A168" t="inlineStr">
        <is>
          <t>No</t>
        </is>
      </c>
      <c r="B168" t="inlineStr">
        <is>
          <t>BV210 .G813 1957</t>
        </is>
      </c>
      <c r="C168" t="inlineStr">
        <is>
          <t>0                      BV 0210000G  813         1957</t>
        </is>
      </c>
      <c r="D168" t="inlineStr">
        <is>
          <t>Prayer in practice / Romano Guardini ; translated from the German by Prince Leopold of Loewenstein-Wertheim.</t>
        </is>
      </c>
      <c r="F168" t="inlineStr">
        <is>
          <t>No</t>
        </is>
      </c>
      <c r="G168" t="inlineStr">
        <is>
          <t>1</t>
        </is>
      </c>
      <c r="H168" t="inlineStr">
        <is>
          <t>No</t>
        </is>
      </c>
      <c r="I168" t="inlineStr">
        <is>
          <t>No</t>
        </is>
      </c>
      <c r="J168" t="inlineStr">
        <is>
          <t>0</t>
        </is>
      </c>
      <c r="K168" t="inlineStr">
        <is>
          <t>Guardini, Romano, 1885-1968.</t>
        </is>
      </c>
      <c r="L168" t="inlineStr">
        <is>
          <t>New York : Pantheon Books, c1957.</t>
        </is>
      </c>
      <c r="M168" t="inlineStr">
        <is>
          <t>1957</t>
        </is>
      </c>
      <c r="O168" t="inlineStr">
        <is>
          <t>eng</t>
        </is>
      </c>
      <c r="P168" t="inlineStr">
        <is>
          <t>nyu</t>
        </is>
      </c>
      <c r="R168" t="inlineStr">
        <is>
          <t xml:space="preserve">BV </t>
        </is>
      </c>
      <c r="S168" t="n">
        <v>4</v>
      </c>
      <c r="T168" t="n">
        <v>4</v>
      </c>
      <c r="U168" t="inlineStr">
        <is>
          <t>2009-08-11</t>
        </is>
      </c>
      <c r="V168" t="inlineStr">
        <is>
          <t>2009-08-11</t>
        </is>
      </c>
      <c r="W168" t="inlineStr">
        <is>
          <t>1991-11-25</t>
        </is>
      </c>
      <c r="X168" t="inlineStr">
        <is>
          <t>1991-11-25</t>
        </is>
      </c>
      <c r="Y168" t="n">
        <v>269</v>
      </c>
      <c r="Z168" t="n">
        <v>240</v>
      </c>
      <c r="AA168" t="n">
        <v>298</v>
      </c>
      <c r="AB168" t="n">
        <v>3</v>
      </c>
      <c r="AC168" t="n">
        <v>3</v>
      </c>
      <c r="AD168" t="n">
        <v>30</v>
      </c>
      <c r="AE168" t="n">
        <v>32</v>
      </c>
      <c r="AF168" t="n">
        <v>9</v>
      </c>
      <c r="AG168" t="n">
        <v>9</v>
      </c>
      <c r="AH168" t="n">
        <v>8</v>
      </c>
      <c r="AI168" t="n">
        <v>8</v>
      </c>
      <c r="AJ168" t="n">
        <v>24</v>
      </c>
      <c r="AK168" t="n">
        <v>26</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HYPERLINK("https://creighton-primo.hosted.exlibrisgroup.com/primo-explore/search?tab=default_tab&amp;search_scope=EVERYTHING&amp;vid=01CRU&amp;lang=en_US&amp;offset=0&amp;query=any,contains,991003992389702656","Catalog Record")</f>
        <v/>
      </c>
      <c r="AT168">
        <f>HYPERLINK("http://www.worldcat.org/oclc/2049598","WorldCat Record")</f>
        <v/>
      </c>
      <c r="AU168" t="inlineStr">
        <is>
          <t>2149465:eng</t>
        </is>
      </c>
      <c r="AV168" t="inlineStr">
        <is>
          <t>2049598</t>
        </is>
      </c>
      <c r="AW168" t="inlineStr">
        <is>
          <t>991003992389702656</t>
        </is>
      </c>
      <c r="AX168" t="inlineStr">
        <is>
          <t>991003992389702656</t>
        </is>
      </c>
      <c r="AY168" t="inlineStr">
        <is>
          <t>2265414840002656</t>
        </is>
      </c>
      <c r="AZ168" t="inlineStr">
        <is>
          <t>BOOK</t>
        </is>
      </c>
      <c r="BC168" t="inlineStr">
        <is>
          <t>32285000836220</t>
        </is>
      </c>
      <c r="BD168" t="inlineStr">
        <is>
          <t>893512662</t>
        </is>
      </c>
    </row>
    <row r="169">
      <c r="A169" t="inlineStr">
        <is>
          <t>No</t>
        </is>
      </c>
      <c r="B169" t="inlineStr">
        <is>
          <t>BV210 .H38</t>
        </is>
      </c>
      <c r="C169" t="inlineStr">
        <is>
          <t>0                      BV 0210000H  38</t>
        </is>
      </c>
      <c r="D169" t="inlineStr">
        <is>
          <t>Prayer : a study in the history and psychology of religion / by Friedrich Heiler ; translated and edited by Samuel McComb ; with the assistance of J. Edgar Park.</t>
        </is>
      </c>
      <c r="F169" t="inlineStr">
        <is>
          <t>No</t>
        </is>
      </c>
      <c r="G169" t="inlineStr">
        <is>
          <t>1</t>
        </is>
      </c>
      <c r="H169" t="inlineStr">
        <is>
          <t>No</t>
        </is>
      </c>
      <c r="I169" t="inlineStr">
        <is>
          <t>No</t>
        </is>
      </c>
      <c r="J169" t="inlineStr">
        <is>
          <t>0</t>
        </is>
      </c>
      <c r="K169" t="inlineStr">
        <is>
          <t>Heiler, Friedrich, 1892-1967.</t>
        </is>
      </c>
      <c r="L169" t="inlineStr">
        <is>
          <t>London, New York [etc.] Oxford University Press [c1932]</t>
        </is>
      </c>
      <c r="M169" t="inlineStr">
        <is>
          <t>1932</t>
        </is>
      </c>
      <c r="O169" t="inlineStr">
        <is>
          <t>eng</t>
        </is>
      </c>
      <c r="P169" t="inlineStr">
        <is>
          <t>enk</t>
        </is>
      </c>
      <c r="R169" t="inlineStr">
        <is>
          <t xml:space="preserve">BV </t>
        </is>
      </c>
      <c r="S169" t="n">
        <v>2</v>
      </c>
      <c r="T169" t="n">
        <v>2</v>
      </c>
      <c r="U169" t="inlineStr">
        <is>
          <t>1995-03-14</t>
        </is>
      </c>
      <c r="V169" t="inlineStr">
        <is>
          <t>1995-03-14</t>
        </is>
      </c>
      <c r="W169" t="inlineStr">
        <is>
          <t>1991-12-13</t>
        </is>
      </c>
      <c r="X169" t="inlineStr">
        <is>
          <t>1991-12-13</t>
        </is>
      </c>
      <c r="Y169" t="n">
        <v>402</v>
      </c>
      <c r="Z169" t="n">
        <v>345</v>
      </c>
      <c r="AA169" t="n">
        <v>660</v>
      </c>
      <c r="AB169" t="n">
        <v>2</v>
      </c>
      <c r="AC169" t="n">
        <v>2</v>
      </c>
      <c r="AD169" t="n">
        <v>14</v>
      </c>
      <c r="AE169" t="n">
        <v>31</v>
      </c>
      <c r="AF169" t="n">
        <v>5</v>
      </c>
      <c r="AG169" t="n">
        <v>14</v>
      </c>
      <c r="AH169" t="n">
        <v>6</v>
      </c>
      <c r="AI169" t="n">
        <v>7</v>
      </c>
      <c r="AJ169" t="n">
        <v>6</v>
      </c>
      <c r="AK169" t="n">
        <v>18</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HYPERLINK("https://creighton-primo.hosted.exlibrisgroup.com/primo-explore/search?tab=default_tab&amp;search_scope=EVERYTHING&amp;vid=01CRU&amp;lang=en_US&amp;offset=0&amp;query=any,contains,991003268689702656","Catalog Record")</f>
        <v/>
      </c>
      <c r="AT169">
        <f>HYPERLINK("http://www.worldcat.org/oclc/794760","WorldCat Record")</f>
        <v/>
      </c>
      <c r="AU169" t="inlineStr">
        <is>
          <t>3901112884:eng</t>
        </is>
      </c>
      <c r="AV169" t="inlineStr">
        <is>
          <t>794760</t>
        </is>
      </c>
      <c r="AW169" t="inlineStr">
        <is>
          <t>991003268689702656</t>
        </is>
      </c>
      <c r="AX169" t="inlineStr">
        <is>
          <t>991003268689702656</t>
        </is>
      </c>
      <c r="AY169" t="inlineStr">
        <is>
          <t>2263785880002656</t>
        </is>
      </c>
      <c r="AZ169" t="inlineStr">
        <is>
          <t>BOOK</t>
        </is>
      </c>
      <c r="BC169" t="inlineStr">
        <is>
          <t>32285000895465</t>
        </is>
      </c>
      <c r="BD169" t="inlineStr">
        <is>
          <t>893342402</t>
        </is>
      </c>
    </row>
    <row r="170">
      <c r="A170" t="inlineStr">
        <is>
          <t>No</t>
        </is>
      </c>
      <c r="B170" t="inlineStr">
        <is>
          <t>BV210 .L4 1940</t>
        </is>
      </c>
      <c r="C170" t="inlineStr">
        <is>
          <t>0                      BV 0210000L  4           1940</t>
        </is>
      </c>
      <c r="D170" t="inlineStr">
        <is>
          <t>Progress through mental prayer / by Rev. Edward Leen.</t>
        </is>
      </c>
      <c r="F170" t="inlineStr">
        <is>
          <t>No</t>
        </is>
      </c>
      <c r="G170" t="inlineStr">
        <is>
          <t>1</t>
        </is>
      </c>
      <c r="H170" t="inlineStr">
        <is>
          <t>No</t>
        </is>
      </c>
      <c r="I170" t="inlineStr">
        <is>
          <t>No</t>
        </is>
      </c>
      <c r="J170" t="inlineStr">
        <is>
          <t>0</t>
        </is>
      </c>
      <c r="K170" t="inlineStr">
        <is>
          <t>Leen, Edward, 1885-1944.</t>
        </is>
      </c>
      <c r="L170" t="inlineStr">
        <is>
          <t>New York : Sheed &amp; Ward, 1940.</t>
        </is>
      </c>
      <c r="M170" t="inlineStr">
        <is>
          <t>1940</t>
        </is>
      </c>
      <c r="O170" t="inlineStr">
        <is>
          <t>eng</t>
        </is>
      </c>
      <c r="P170" t="inlineStr">
        <is>
          <t>nyu</t>
        </is>
      </c>
      <c r="R170" t="inlineStr">
        <is>
          <t xml:space="preserve">BV </t>
        </is>
      </c>
      <c r="S170" t="n">
        <v>4</v>
      </c>
      <c r="T170" t="n">
        <v>4</v>
      </c>
      <c r="U170" t="inlineStr">
        <is>
          <t>1995-01-29</t>
        </is>
      </c>
      <c r="V170" t="inlineStr">
        <is>
          <t>1995-01-29</t>
        </is>
      </c>
      <c r="W170" t="inlineStr">
        <is>
          <t>1991-11-25</t>
        </is>
      </c>
      <c r="X170" t="inlineStr">
        <is>
          <t>1991-11-25</t>
        </is>
      </c>
      <c r="Y170" t="n">
        <v>37</v>
      </c>
      <c r="Z170" t="n">
        <v>33</v>
      </c>
      <c r="AA170" t="n">
        <v>223</v>
      </c>
      <c r="AB170" t="n">
        <v>2</v>
      </c>
      <c r="AC170" t="n">
        <v>3</v>
      </c>
      <c r="AD170" t="n">
        <v>4</v>
      </c>
      <c r="AE170" t="n">
        <v>34</v>
      </c>
      <c r="AF170" t="n">
        <v>1</v>
      </c>
      <c r="AG170" t="n">
        <v>12</v>
      </c>
      <c r="AH170" t="n">
        <v>0</v>
      </c>
      <c r="AI170" t="n">
        <v>9</v>
      </c>
      <c r="AJ170" t="n">
        <v>3</v>
      </c>
      <c r="AK170" t="n">
        <v>25</v>
      </c>
      <c r="AL170" t="n">
        <v>0</v>
      </c>
      <c r="AM170" t="n">
        <v>1</v>
      </c>
      <c r="AN170" t="n">
        <v>0</v>
      </c>
      <c r="AO170" t="n">
        <v>0</v>
      </c>
      <c r="AP170" t="inlineStr">
        <is>
          <t>Yes</t>
        </is>
      </c>
      <c r="AQ170" t="inlineStr">
        <is>
          <t>No</t>
        </is>
      </c>
      <c r="AR170">
        <f>HYPERLINK("http://catalog.hathitrust.org/Record/006017274","HathiTrust Record")</f>
        <v/>
      </c>
      <c r="AS170">
        <f>HYPERLINK("https://creighton-primo.hosted.exlibrisgroup.com/primo-explore/search?tab=default_tab&amp;search_scope=EVERYTHING&amp;vid=01CRU&amp;lang=en_US&amp;offset=0&amp;query=any,contains,991000081539702656","Catalog Record")</f>
        <v/>
      </c>
      <c r="AT170">
        <f>HYPERLINK("http://www.worldcat.org/oclc/8841012","WorldCat Record")</f>
        <v/>
      </c>
      <c r="AU170" t="inlineStr">
        <is>
          <t>1839537:eng</t>
        </is>
      </c>
      <c r="AV170" t="inlineStr">
        <is>
          <t>8841012</t>
        </is>
      </c>
      <c r="AW170" t="inlineStr">
        <is>
          <t>991000081539702656</t>
        </is>
      </c>
      <c r="AX170" t="inlineStr">
        <is>
          <t>991000081539702656</t>
        </is>
      </c>
      <c r="AY170" t="inlineStr">
        <is>
          <t>2258533410002656</t>
        </is>
      </c>
      <c r="AZ170" t="inlineStr">
        <is>
          <t>BOOK</t>
        </is>
      </c>
      <c r="BC170" t="inlineStr">
        <is>
          <t>32285000836253</t>
        </is>
      </c>
      <c r="BD170" t="inlineStr">
        <is>
          <t>893534033</t>
        </is>
      </c>
    </row>
    <row r="171">
      <c r="A171" t="inlineStr">
        <is>
          <t>No</t>
        </is>
      </c>
      <c r="B171" t="inlineStr">
        <is>
          <t>BV210 .M287 1934</t>
        </is>
      </c>
      <c r="C171" t="inlineStr">
        <is>
          <t>0                      BV 0210000M  287         1934</t>
        </is>
      </c>
      <c r="D171" t="inlineStr">
        <is>
          <t>A primer of prayer / by Joseph McSorley.</t>
        </is>
      </c>
      <c r="F171" t="inlineStr">
        <is>
          <t>No</t>
        </is>
      </c>
      <c r="G171" t="inlineStr">
        <is>
          <t>1</t>
        </is>
      </c>
      <c r="H171" t="inlineStr">
        <is>
          <t>No</t>
        </is>
      </c>
      <c r="I171" t="inlineStr">
        <is>
          <t>No</t>
        </is>
      </c>
      <c r="J171" t="inlineStr">
        <is>
          <t>0</t>
        </is>
      </c>
      <c r="K171" t="inlineStr">
        <is>
          <t>McSorley, Joseph, 1874-1963.</t>
        </is>
      </c>
      <c r="L171" t="inlineStr">
        <is>
          <t>London ; New York [etc.] : Longmans, Green, and co., 1934.</t>
        </is>
      </c>
      <c r="M171" t="inlineStr">
        <is>
          <t>1934</t>
        </is>
      </c>
      <c r="O171" t="inlineStr">
        <is>
          <t>eng</t>
        </is>
      </c>
      <c r="P171" t="inlineStr">
        <is>
          <t>___</t>
        </is>
      </c>
      <c r="R171" t="inlineStr">
        <is>
          <t xml:space="preserve">BV </t>
        </is>
      </c>
      <c r="S171" t="n">
        <v>3</v>
      </c>
      <c r="T171" t="n">
        <v>3</v>
      </c>
      <c r="U171" t="inlineStr">
        <is>
          <t>1999-05-08</t>
        </is>
      </c>
      <c r="V171" t="inlineStr">
        <is>
          <t>1999-05-08</t>
        </is>
      </c>
      <c r="W171" t="inlineStr">
        <is>
          <t>1991-11-25</t>
        </is>
      </c>
      <c r="X171" t="inlineStr">
        <is>
          <t>1991-11-25</t>
        </is>
      </c>
      <c r="Y171" t="n">
        <v>96</v>
      </c>
      <c r="Z171" t="n">
        <v>87</v>
      </c>
      <c r="AA171" t="n">
        <v>109</v>
      </c>
      <c r="AB171" t="n">
        <v>2</v>
      </c>
      <c r="AC171" t="n">
        <v>3</v>
      </c>
      <c r="AD171" t="n">
        <v>16</v>
      </c>
      <c r="AE171" t="n">
        <v>16</v>
      </c>
      <c r="AF171" t="n">
        <v>5</v>
      </c>
      <c r="AG171" t="n">
        <v>5</v>
      </c>
      <c r="AH171" t="n">
        <v>4</v>
      </c>
      <c r="AI171" t="n">
        <v>4</v>
      </c>
      <c r="AJ171" t="n">
        <v>11</v>
      </c>
      <c r="AK171" t="n">
        <v>11</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HYPERLINK("https://creighton-primo.hosted.exlibrisgroup.com/primo-explore/search?tab=default_tab&amp;search_scope=EVERYTHING&amp;vid=01CRU&amp;lang=en_US&amp;offset=0&amp;query=any,contains,991002554069702656","Catalog Record")</f>
        <v/>
      </c>
      <c r="AT171">
        <f>HYPERLINK("http://www.worldcat.org/oclc/370786","WorldCat Record")</f>
        <v/>
      </c>
      <c r="AU171" t="inlineStr">
        <is>
          <t>1446020:eng</t>
        </is>
      </c>
      <c r="AV171" t="inlineStr">
        <is>
          <t>370786</t>
        </is>
      </c>
      <c r="AW171" t="inlineStr">
        <is>
          <t>991002554069702656</t>
        </is>
      </c>
      <c r="AX171" t="inlineStr">
        <is>
          <t>991002554069702656</t>
        </is>
      </c>
      <c r="AY171" t="inlineStr">
        <is>
          <t>2259938610002656</t>
        </is>
      </c>
      <c r="AZ171" t="inlineStr">
        <is>
          <t>BOOK</t>
        </is>
      </c>
      <c r="BC171" t="inlineStr">
        <is>
          <t>32285000836261</t>
        </is>
      </c>
      <c r="BD171" t="inlineStr">
        <is>
          <t>893523754</t>
        </is>
      </c>
    </row>
    <row r="172">
      <c r="A172" t="inlineStr">
        <is>
          <t>No</t>
        </is>
      </c>
      <c r="B172" t="inlineStr">
        <is>
          <t>BV210 .P47 1951</t>
        </is>
      </c>
      <c r="C172" t="inlineStr">
        <is>
          <t>0                      BV 0210000P  47          1951</t>
        </is>
      </c>
      <c r="D172" t="inlineStr">
        <is>
          <t>The ear of God / Patrick J. Peyton.</t>
        </is>
      </c>
      <c r="F172" t="inlineStr">
        <is>
          <t>No</t>
        </is>
      </c>
      <c r="G172" t="inlineStr">
        <is>
          <t>1</t>
        </is>
      </c>
      <c r="H172" t="inlineStr">
        <is>
          <t>No</t>
        </is>
      </c>
      <c r="I172" t="inlineStr">
        <is>
          <t>No</t>
        </is>
      </c>
      <c r="J172" t="inlineStr">
        <is>
          <t>0</t>
        </is>
      </c>
      <c r="K172" t="inlineStr">
        <is>
          <t>Peyton, Patrick, 1909-1992.</t>
        </is>
      </c>
      <c r="L172" t="inlineStr">
        <is>
          <t>Garden City, N.Y. : Doubleday, 1951.</t>
        </is>
      </c>
      <c r="M172" t="inlineStr">
        <is>
          <t>1951</t>
        </is>
      </c>
      <c r="O172" t="inlineStr">
        <is>
          <t>eng</t>
        </is>
      </c>
      <c r="P172" t="inlineStr">
        <is>
          <t>___</t>
        </is>
      </c>
      <c r="R172" t="inlineStr">
        <is>
          <t xml:space="preserve">BV </t>
        </is>
      </c>
      <c r="S172" t="n">
        <v>1</v>
      </c>
      <c r="T172" t="n">
        <v>1</v>
      </c>
      <c r="U172" t="inlineStr">
        <is>
          <t>1992-09-11</t>
        </is>
      </c>
      <c r="V172" t="inlineStr">
        <is>
          <t>1992-09-11</t>
        </is>
      </c>
      <c r="W172" t="inlineStr">
        <is>
          <t>1991-11-25</t>
        </is>
      </c>
      <c r="X172" t="inlineStr">
        <is>
          <t>1991-11-25</t>
        </is>
      </c>
      <c r="Y172" t="n">
        <v>156</v>
      </c>
      <c r="Z172" t="n">
        <v>144</v>
      </c>
      <c r="AA172" t="n">
        <v>146</v>
      </c>
      <c r="AB172" t="n">
        <v>3</v>
      </c>
      <c r="AC172" t="n">
        <v>3</v>
      </c>
      <c r="AD172" t="n">
        <v>21</v>
      </c>
      <c r="AE172" t="n">
        <v>21</v>
      </c>
      <c r="AF172" t="n">
        <v>7</v>
      </c>
      <c r="AG172" t="n">
        <v>7</v>
      </c>
      <c r="AH172" t="n">
        <v>7</v>
      </c>
      <c r="AI172" t="n">
        <v>7</v>
      </c>
      <c r="AJ172" t="n">
        <v>14</v>
      </c>
      <c r="AK172" t="n">
        <v>14</v>
      </c>
      <c r="AL172" t="n">
        <v>0</v>
      </c>
      <c r="AM172" t="n">
        <v>0</v>
      </c>
      <c r="AN172" t="n">
        <v>0</v>
      </c>
      <c r="AO172" t="n">
        <v>0</v>
      </c>
      <c r="AP172" t="inlineStr">
        <is>
          <t>No</t>
        </is>
      </c>
      <c r="AQ172" t="inlineStr">
        <is>
          <t>Yes</t>
        </is>
      </c>
      <c r="AR172">
        <f>HYPERLINK("http://catalog.hathitrust.org/Record/008002322","HathiTrust Record")</f>
        <v/>
      </c>
      <c r="AS172">
        <f>HYPERLINK("https://creighton-primo.hosted.exlibrisgroup.com/primo-explore/search?tab=default_tab&amp;search_scope=EVERYTHING&amp;vid=01CRU&amp;lang=en_US&amp;offset=0&amp;query=any,contains,991003566059702656","Catalog Record")</f>
        <v/>
      </c>
      <c r="AT172">
        <f>HYPERLINK("http://www.worldcat.org/oclc/1138526","WorldCat Record")</f>
        <v/>
      </c>
      <c r="AU172" t="inlineStr">
        <is>
          <t>2058288:eng</t>
        </is>
      </c>
      <c r="AV172" t="inlineStr">
        <is>
          <t>1138526</t>
        </is>
      </c>
      <c r="AW172" t="inlineStr">
        <is>
          <t>991003566059702656</t>
        </is>
      </c>
      <c r="AX172" t="inlineStr">
        <is>
          <t>991003566059702656</t>
        </is>
      </c>
      <c r="AY172" t="inlineStr">
        <is>
          <t>2270410770002656</t>
        </is>
      </c>
      <c r="AZ172" t="inlineStr">
        <is>
          <t>BOOK</t>
        </is>
      </c>
      <c r="BC172" t="inlineStr">
        <is>
          <t>32285000836303</t>
        </is>
      </c>
      <c r="BD172" t="inlineStr">
        <is>
          <t>893781136</t>
        </is>
      </c>
    </row>
    <row r="173">
      <c r="A173" t="inlineStr">
        <is>
          <t>No</t>
        </is>
      </c>
      <c r="B173" t="inlineStr">
        <is>
          <t>BV210 .V33 1958</t>
        </is>
      </c>
      <c r="C173" t="inlineStr">
        <is>
          <t>0                      BV 0210000V  33          1958</t>
        </is>
      </c>
      <c r="D173" t="inlineStr">
        <is>
          <t>Approach to prayer / by Hubert Van Zeller.</t>
        </is>
      </c>
      <c r="F173" t="inlineStr">
        <is>
          <t>No</t>
        </is>
      </c>
      <c r="G173" t="inlineStr">
        <is>
          <t>1</t>
        </is>
      </c>
      <c r="H173" t="inlineStr">
        <is>
          <t>No</t>
        </is>
      </c>
      <c r="I173" t="inlineStr">
        <is>
          <t>No</t>
        </is>
      </c>
      <c r="J173" t="inlineStr">
        <is>
          <t>0</t>
        </is>
      </c>
      <c r="K173" t="inlineStr">
        <is>
          <t>Van Zeller, Hubert, 1905-1984.</t>
        </is>
      </c>
      <c r="L173" t="inlineStr">
        <is>
          <t>London ; New York : Sheed and Ward, [1958]</t>
        </is>
      </c>
      <c r="M173" t="inlineStr">
        <is>
          <t>1958</t>
        </is>
      </c>
      <c r="O173" t="inlineStr">
        <is>
          <t>eng</t>
        </is>
      </c>
      <c r="P173" t="inlineStr">
        <is>
          <t>enk</t>
        </is>
      </c>
      <c r="R173" t="inlineStr">
        <is>
          <t xml:space="preserve">BV </t>
        </is>
      </c>
      <c r="S173" t="n">
        <v>4</v>
      </c>
      <c r="T173" t="n">
        <v>4</v>
      </c>
      <c r="U173" t="inlineStr">
        <is>
          <t>1996-11-20</t>
        </is>
      </c>
      <c r="V173" t="inlineStr">
        <is>
          <t>1996-11-20</t>
        </is>
      </c>
      <c r="W173" t="inlineStr">
        <is>
          <t>1991-11-25</t>
        </is>
      </c>
      <c r="X173" t="inlineStr">
        <is>
          <t>1991-11-25</t>
        </is>
      </c>
      <c r="Y173" t="n">
        <v>79</v>
      </c>
      <c r="Z173" t="n">
        <v>59</v>
      </c>
      <c r="AA173" t="n">
        <v>182</v>
      </c>
      <c r="AB173" t="n">
        <v>1</v>
      </c>
      <c r="AC173" t="n">
        <v>3</v>
      </c>
      <c r="AD173" t="n">
        <v>8</v>
      </c>
      <c r="AE173" t="n">
        <v>24</v>
      </c>
      <c r="AF173" t="n">
        <v>3</v>
      </c>
      <c r="AG173" t="n">
        <v>6</v>
      </c>
      <c r="AH173" t="n">
        <v>2</v>
      </c>
      <c r="AI173" t="n">
        <v>7</v>
      </c>
      <c r="AJ173" t="n">
        <v>6</v>
      </c>
      <c r="AK173" t="n">
        <v>19</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HYPERLINK("https://creighton-primo.hosted.exlibrisgroup.com/primo-explore/search?tab=default_tab&amp;search_scope=EVERYTHING&amp;vid=01CRU&amp;lang=en_US&amp;offset=0&amp;query=any,contains,991003844219702656","Catalog Record")</f>
        <v/>
      </c>
      <c r="AT173">
        <f>HYPERLINK("http://www.worldcat.org/oclc/1624531","WorldCat Record")</f>
        <v/>
      </c>
      <c r="AU173" t="inlineStr">
        <is>
          <t>148344820:eng</t>
        </is>
      </c>
      <c r="AV173" t="inlineStr">
        <is>
          <t>1624531</t>
        </is>
      </c>
      <c r="AW173" t="inlineStr">
        <is>
          <t>991003844219702656</t>
        </is>
      </c>
      <c r="AX173" t="inlineStr">
        <is>
          <t>991003844219702656</t>
        </is>
      </c>
      <c r="AY173" t="inlineStr">
        <is>
          <t>2267653110002656</t>
        </is>
      </c>
      <c r="AZ173" t="inlineStr">
        <is>
          <t>BOOK</t>
        </is>
      </c>
      <c r="BC173" t="inlineStr">
        <is>
          <t>32285000836311</t>
        </is>
      </c>
      <c r="BD173" t="inlineStr">
        <is>
          <t>893258944</t>
        </is>
      </c>
    </row>
    <row r="174">
      <c r="A174" t="inlineStr">
        <is>
          <t>No</t>
        </is>
      </c>
      <c r="B174" t="inlineStr">
        <is>
          <t>BV210.2 .B62 1971</t>
        </is>
      </c>
      <c r="C174" t="inlineStr">
        <is>
          <t>0                      BV 0210200B  62          1971</t>
        </is>
      </c>
      <c r="D174" t="inlineStr">
        <is>
          <t>What a modern Catholic believes about prayer / by James Bowman.</t>
        </is>
      </c>
      <c r="F174" t="inlineStr">
        <is>
          <t>No</t>
        </is>
      </c>
      <c r="G174" t="inlineStr">
        <is>
          <t>1</t>
        </is>
      </c>
      <c r="H174" t="inlineStr">
        <is>
          <t>No</t>
        </is>
      </c>
      <c r="I174" t="inlineStr">
        <is>
          <t>No</t>
        </is>
      </c>
      <c r="J174" t="inlineStr">
        <is>
          <t>0</t>
        </is>
      </c>
      <c r="K174" t="inlineStr">
        <is>
          <t>Bowman, James.</t>
        </is>
      </c>
      <c r="L174" t="inlineStr">
        <is>
          <t>Chicago : Thomas More Press, [c1971]</t>
        </is>
      </c>
      <c r="M174" t="inlineStr">
        <is>
          <t>1971</t>
        </is>
      </c>
      <c r="O174" t="inlineStr">
        <is>
          <t>eng</t>
        </is>
      </c>
      <c r="P174" t="inlineStr">
        <is>
          <t>___</t>
        </is>
      </c>
      <c r="R174" t="inlineStr">
        <is>
          <t xml:space="preserve">BV </t>
        </is>
      </c>
      <c r="S174" t="n">
        <v>5</v>
      </c>
      <c r="T174" t="n">
        <v>5</v>
      </c>
      <c r="U174" t="inlineStr">
        <is>
          <t>1999-11-27</t>
        </is>
      </c>
      <c r="V174" t="inlineStr">
        <is>
          <t>1999-11-27</t>
        </is>
      </c>
      <c r="W174" t="inlineStr">
        <is>
          <t>1991-11-25</t>
        </is>
      </c>
      <c r="X174" t="inlineStr">
        <is>
          <t>1991-11-25</t>
        </is>
      </c>
      <c r="Y174" t="n">
        <v>62</v>
      </c>
      <c r="Z174" t="n">
        <v>52</v>
      </c>
      <c r="AA174" t="n">
        <v>52</v>
      </c>
      <c r="AB174" t="n">
        <v>1</v>
      </c>
      <c r="AC174" t="n">
        <v>1</v>
      </c>
      <c r="AD174" t="n">
        <v>9</v>
      </c>
      <c r="AE174" t="n">
        <v>9</v>
      </c>
      <c r="AF174" t="n">
        <v>1</v>
      </c>
      <c r="AG174" t="n">
        <v>1</v>
      </c>
      <c r="AH174" t="n">
        <v>3</v>
      </c>
      <c r="AI174" t="n">
        <v>3</v>
      </c>
      <c r="AJ174" t="n">
        <v>6</v>
      </c>
      <c r="AK174" t="n">
        <v>6</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HYPERLINK("https://creighton-primo.hosted.exlibrisgroup.com/primo-explore/search?tab=default_tab&amp;search_scope=EVERYTHING&amp;vid=01CRU&amp;lang=en_US&amp;offset=0&amp;query=any,contains,991003614519702656","Catalog Record")</f>
        <v/>
      </c>
      <c r="AT174">
        <f>HYPERLINK("http://www.worldcat.org/oclc/1197485","WorldCat Record")</f>
        <v/>
      </c>
      <c r="AU174" t="inlineStr">
        <is>
          <t>2159488:eng</t>
        </is>
      </c>
      <c r="AV174" t="inlineStr">
        <is>
          <t>1197485</t>
        </is>
      </c>
      <c r="AW174" t="inlineStr">
        <is>
          <t>991003614519702656</t>
        </is>
      </c>
      <c r="AX174" t="inlineStr">
        <is>
          <t>991003614519702656</t>
        </is>
      </c>
      <c r="AY174" t="inlineStr">
        <is>
          <t>2268714010002656</t>
        </is>
      </c>
      <c r="AZ174" t="inlineStr">
        <is>
          <t>BOOK</t>
        </is>
      </c>
      <c r="BC174" t="inlineStr">
        <is>
          <t>32285000836352</t>
        </is>
      </c>
      <c r="BD174" t="inlineStr">
        <is>
          <t>893900174</t>
        </is>
      </c>
    </row>
    <row r="175">
      <c r="A175" t="inlineStr">
        <is>
          <t>No</t>
        </is>
      </c>
      <c r="B175" t="inlineStr">
        <is>
          <t>BV210.2 .B63 1962</t>
        </is>
      </c>
      <c r="C175" t="inlineStr">
        <is>
          <t>0                      BV 0210200B  63          1962</t>
        </is>
      </c>
      <c r="D175" t="inlineStr">
        <is>
          <t>The prayer of faith / by Leonard Boase.</t>
        </is>
      </c>
      <c r="F175" t="inlineStr">
        <is>
          <t>No</t>
        </is>
      </c>
      <c r="G175" t="inlineStr">
        <is>
          <t>1</t>
        </is>
      </c>
      <c r="H175" t="inlineStr">
        <is>
          <t>No</t>
        </is>
      </c>
      <c r="I175" t="inlineStr">
        <is>
          <t>No</t>
        </is>
      </c>
      <c r="J175" t="inlineStr">
        <is>
          <t>0</t>
        </is>
      </c>
      <c r="K175" t="inlineStr">
        <is>
          <t>Boase, Leonard.</t>
        </is>
      </c>
      <c r="L175" t="inlineStr">
        <is>
          <t>St. Louis : B. Herder Book Co., [1962]</t>
        </is>
      </c>
      <c r="M175" t="inlineStr">
        <is>
          <t>1962</t>
        </is>
      </c>
      <c r="O175" t="inlineStr">
        <is>
          <t>eng</t>
        </is>
      </c>
      <c r="P175" t="inlineStr">
        <is>
          <t>___</t>
        </is>
      </c>
      <c r="R175" t="inlineStr">
        <is>
          <t xml:space="preserve">BV </t>
        </is>
      </c>
      <c r="S175" t="n">
        <v>9</v>
      </c>
      <c r="T175" t="n">
        <v>9</v>
      </c>
      <c r="U175" t="inlineStr">
        <is>
          <t>2005-04-29</t>
        </is>
      </c>
      <c r="V175" t="inlineStr">
        <is>
          <t>2005-04-29</t>
        </is>
      </c>
      <c r="W175" t="inlineStr">
        <is>
          <t>1991-11-25</t>
        </is>
      </c>
      <c r="X175" t="inlineStr">
        <is>
          <t>1991-11-25</t>
        </is>
      </c>
      <c r="Y175" t="n">
        <v>68</v>
      </c>
      <c r="Z175" t="n">
        <v>63</v>
      </c>
      <c r="AA175" t="n">
        <v>157</v>
      </c>
      <c r="AB175" t="n">
        <v>2</v>
      </c>
      <c r="AC175" t="n">
        <v>3</v>
      </c>
      <c r="AD175" t="n">
        <v>12</v>
      </c>
      <c r="AE175" t="n">
        <v>27</v>
      </c>
      <c r="AF175" t="n">
        <v>4</v>
      </c>
      <c r="AG175" t="n">
        <v>10</v>
      </c>
      <c r="AH175" t="n">
        <v>2</v>
      </c>
      <c r="AI175" t="n">
        <v>4</v>
      </c>
      <c r="AJ175" t="n">
        <v>11</v>
      </c>
      <c r="AK175" t="n">
        <v>23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HYPERLINK("https://creighton-primo.hosted.exlibrisgroup.com/primo-explore/search?tab=default_tab&amp;search_scope=EVERYTHING&amp;vid=01CRU&amp;lang=en_US&amp;offset=0&amp;query=any,contains,991003422339702656","Catalog Record")</f>
        <v/>
      </c>
      <c r="AT175">
        <f>HYPERLINK("http://www.worldcat.org/oclc/963095","WorldCat Record")</f>
        <v/>
      </c>
      <c r="AU175" t="inlineStr">
        <is>
          <t>1915755:eng</t>
        </is>
      </c>
      <c r="AV175" t="inlineStr">
        <is>
          <t>963095</t>
        </is>
      </c>
      <c r="AW175" t="inlineStr">
        <is>
          <t>991003422339702656</t>
        </is>
      </c>
      <c r="AX175" t="inlineStr">
        <is>
          <t>991003422339702656</t>
        </is>
      </c>
      <c r="AY175" t="inlineStr">
        <is>
          <t>2260061210002656</t>
        </is>
      </c>
      <c r="AZ175" t="inlineStr">
        <is>
          <t>BOOK</t>
        </is>
      </c>
      <c r="BC175" t="inlineStr">
        <is>
          <t>32285000836360</t>
        </is>
      </c>
      <c r="BD175" t="inlineStr">
        <is>
          <t>893258404</t>
        </is>
      </c>
    </row>
    <row r="176">
      <c r="A176" t="inlineStr">
        <is>
          <t>No</t>
        </is>
      </c>
      <c r="B176" t="inlineStr">
        <is>
          <t>BV210.2 .B65 1966b</t>
        </is>
      </c>
      <c r="C176" t="inlineStr">
        <is>
          <t>0                      BV 0210200B  65          1966b</t>
        </is>
      </c>
      <c r="D176" t="inlineStr">
        <is>
          <t>Living prayer / by Anthony Bloom.</t>
        </is>
      </c>
      <c r="F176" t="inlineStr">
        <is>
          <t>No</t>
        </is>
      </c>
      <c r="G176" t="inlineStr">
        <is>
          <t>1</t>
        </is>
      </c>
      <c r="H176" t="inlineStr">
        <is>
          <t>No</t>
        </is>
      </c>
      <c r="I176" t="inlineStr">
        <is>
          <t>No</t>
        </is>
      </c>
      <c r="J176" t="inlineStr">
        <is>
          <t>0</t>
        </is>
      </c>
      <c r="K176" t="inlineStr">
        <is>
          <t>Bloom, Anthony, 1914-2003.</t>
        </is>
      </c>
      <c r="L176" t="inlineStr">
        <is>
          <t>Springfield, Ill. : Templegate, [c1966]</t>
        </is>
      </c>
      <c r="M176" t="inlineStr">
        <is>
          <t>1966</t>
        </is>
      </c>
      <c r="O176" t="inlineStr">
        <is>
          <t>eng</t>
        </is>
      </c>
      <c r="P176" t="inlineStr">
        <is>
          <t>ilu</t>
        </is>
      </c>
      <c r="R176" t="inlineStr">
        <is>
          <t xml:space="preserve">BV </t>
        </is>
      </c>
      <c r="S176" t="n">
        <v>5</v>
      </c>
      <c r="T176" t="n">
        <v>5</v>
      </c>
      <c r="U176" t="inlineStr">
        <is>
          <t>2003-07-29</t>
        </is>
      </c>
      <c r="V176" t="inlineStr">
        <is>
          <t>2003-07-29</t>
        </is>
      </c>
      <c r="W176" t="inlineStr">
        <is>
          <t>1991-11-25</t>
        </is>
      </c>
      <c r="X176" t="inlineStr">
        <is>
          <t>1991-11-25</t>
        </is>
      </c>
      <c r="Y176" t="n">
        <v>228</v>
      </c>
      <c r="Z176" t="n">
        <v>213</v>
      </c>
      <c r="AA176" t="n">
        <v>248</v>
      </c>
      <c r="AB176" t="n">
        <v>3</v>
      </c>
      <c r="AC176" t="n">
        <v>3</v>
      </c>
      <c r="AD176" t="n">
        <v>15</v>
      </c>
      <c r="AE176" t="n">
        <v>16</v>
      </c>
      <c r="AF176" t="n">
        <v>3</v>
      </c>
      <c r="AG176" t="n">
        <v>4</v>
      </c>
      <c r="AH176" t="n">
        <v>3</v>
      </c>
      <c r="AI176" t="n">
        <v>3</v>
      </c>
      <c r="AJ176" t="n">
        <v>11</v>
      </c>
      <c r="AK176" t="n">
        <v>11</v>
      </c>
      <c r="AL176" t="n">
        <v>0</v>
      </c>
      <c r="AM176" t="n">
        <v>0</v>
      </c>
      <c r="AN176" t="n">
        <v>0</v>
      </c>
      <c r="AO176" t="n">
        <v>0</v>
      </c>
      <c r="AP176" t="inlineStr">
        <is>
          <t>No</t>
        </is>
      </c>
      <c r="AQ176" t="inlineStr">
        <is>
          <t>Yes</t>
        </is>
      </c>
      <c r="AR176">
        <f>HYPERLINK("http://catalog.hathitrust.org/Record/006017179","HathiTrust Record")</f>
        <v/>
      </c>
      <c r="AS176">
        <f>HYPERLINK("https://creighton-primo.hosted.exlibrisgroup.com/primo-explore/search?tab=default_tab&amp;search_scope=EVERYTHING&amp;vid=01CRU&amp;lang=en_US&amp;offset=0&amp;query=any,contains,991001161189702656","Catalog Record")</f>
        <v/>
      </c>
      <c r="AT176">
        <f>HYPERLINK("http://www.worldcat.org/oclc/186395","WorldCat Record")</f>
        <v/>
      </c>
      <c r="AU176" t="inlineStr">
        <is>
          <t>52414323:eng</t>
        </is>
      </c>
      <c r="AV176" t="inlineStr">
        <is>
          <t>186395</t>
        </is>
      </c>
      <c r="AW176" t="inlineStr">
        <is>
          <t>991001161189702656</t>
        </is>
      </c>
      <c r="AX176" t="inlineStr">
        <is>
          <t>991001161189702656</t>
        </is>
      </c>
      <c r="AY176" t="inlineStr">
        <is>
          <t>2269450520002656</t>
        </is>
      </c>
      <c r="AZ176" t="inlineStr">
        <is>
          <t>BOOK</t>
        </is>
      </c>
      <c r="BC176" t="inlineStr">
        <is>
          <t>32285000836378</t>
        </is>
      </c>
      <c r="BD176" t="inlineStr">
        <is>
          <t>893243911</t>
        </is>
      </c>
    </row>
    <row r="177">
      <c r="A177" t="inlineStr">
        <is>
          <t>No</t>
        </is>
      </c>
      <c r="B177" t="inlineStr">
        <is>
          <t>BV210.2 .B6513 1976</t>
        </is>
      </c>
      <c r="C177" t="inlineStr">
        <is>
          <t>0                      BV 0210200B  6513        1976</t>
        </is>
      </c>
      <c r="D177" t="inlineStr">
        <is>
          <t>Christian prayer / Ladislaus Boros ; translated by David Smith.</t>
        </is>
      </c>
      <c r="F177" t="inlineStr">
        <is>
          <t>No</t>
        </is>
      </c>
      <c r="G177" t="inlineStr">
        <is>
          <t>1</t>
        </is>
      </c>
      <c r="H177" t="inlineStr">
        <is>
          <t>No</t>
        </is>
      </c>
      <c r="I177" t="inlineStr">
        <is>
          <t>No</t>
        </is>
      </c>
      <c r="J177" t="inlineStr">
        <is>
          <t>0</t>
        </is>
      </c>
      <c r="K177" t="inlineStr">
        <is>
          <t>Boros, Ladislaus, 1927-1981.</t>
        </is>
      </c>
      <c r="L177" t="inlineStr">
        <is>
          <t>New York : Seabury Press, c1976.</t>
        </is>
      </c>
      <c r="M177" t="inlineStr">
        <is>
          <t>1976</t>
        </is>
      </c>
      <c r="O177" t="inlineStr">
        <is>
          <t>eng</t>
        </is>
      </c>
      <c r="P177" t="inlineStr">
        <is>
          <t>nyu</t>
        </is>
      </c>
      <c r="R177" t="inlineStr">
        <is>
          <t xml:space="preserve">BV </t>
        </is>
      </c>
      <c r="S177" t="n">
        <v>1</v>
      </c>
      <c r="T177" t="n">
        <v>1</v>
      </c>
      <c r="U177" t="inlineStr">
        <is>
          <t>2001-04-08</t>
        </is>
      </c>
      <c r="V177" t="inlineStr">
        <is>
          <t>2001-04-08</t>
        </is>
      </c>
      <c r="W177" t="inlineStr">
        <is>
          <t>1991-11-25</t>
        </is>
      </c>
      <c r="X177" t="inlineStr">
        <is>
          <t>1991-11-25</t>
        </is>
      </c>
      <c r="Y177" t="n">
        <v>222</v>
      </c>
      <c r="Z177" t="n">
        <v>200</v>
      </c>
      <c r="AA177" t="n">
        <v>207</v>
      </c>
      <c r="AB177" t="n">
        <v>3</v>
      </c>
      <c r="AC177" t="n">
        <v>3</v>
      </c>
      <c r="AD177" t="n">
        <v>22</v>
      </c>
      <c r="AE177" t="n">
        <v>22</v>
      </c>
      <c r="AF177" t="n">
        <v>3</v>
      </c>
      <c r="AG177" t="n">
        <v>3</v>
      </c>
      <c r="AH177" t="n">
        <v>7</v>
      </c>
      <c r="AI177" t="n">
        <v>7</v>
      </c>
      <c r="AJ177" t="n">
        <v>16</v>
      </c>
      <c r="AK177" t="n">
        <v>16</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HYPERLINK("https://creighton-primo.hosted.exlibrisgroup.com/primo-explore/search?tab=default_tab&amp;search_scope=EVERYTHING&amp;vid=01CRU&amp;lang=en_US&amp;offset=0&amp;query=any,contains,991004018819702656","Catalog Record")</f>
        <v/>
      </c>
      <c r="AT177">
        <f>HYPERLINK("http://www.worldcat.org/oclc/2119363","WorldCat Record")</f>
        <v/>
      </c>
      <c r="AU177" t="inlineStr">
        <is>
          <t>58208319:eng</t>
        </is>
      </c>
      <c r="AV177" t="inlineStr">
        <is>
          <t>2119363</t>
        </is>
      </c>
      <c r="AW177" t="inlineStr">
        <is>
          <t>991004018819702656</t>
        </is>
      </c>
      <c r="AX177" t="inlineStr">
        <is>
          <t>991004018819702656</t>
        </is>
      </c>
      <c r="AY177" t="inlineStr">
        <is>
          <t>2267953720002656</t>
        </is>
      </c>
      <c r="AZ177" t="inlineStr">
        <is>
          <t>BOOK</t>
        </is>
      </c>
      <c r="BB177" t="inlineStr">
        <is>
          <t>9780816411993</t>
        </is>
      </c>
      <c r="BC177" t="inlineStr">
        <is>
          <t>32285000836394</t>
        </is>
      </c>
      <c r="BD177" t="inlineStr">
        <is>
          <t>893881950</t>
        </is>
      </c>
    </row>
    <row r="178">
      <c r="A178" t="inlineStr">
        <is>
          <t>No</t>
        </is>
      </c>
      <c r="B178" t="inlineStr">
        <is>
          <t>BV210.2 .B84 1983</t>
        </is>
      </c>
      <c r="C178" t="inlineStr">
        <is>
          <t>0                      BV 0210200B  84          1983</t>
        </is>
      </c>
      <c r="D178" t="inlineStr">
        <is>
          <t>Prayer : an adventure in living / by B.C. Butler.</t>
        </is>
      </c>
      <c r="F178" t="inlineStr">
        <is>
          <t>No</t>
        </is>
      </c>
      <c r="G178" t="inlineStr">
        <is>
          <t>1</t>
        </is>
      </c>
      <c r="H178" t="inlineStr">
        <is>
          <t>No</t>
        </is>
      </c>
      <c r="I178" t="inlineStr">
        <is>
          <t>No</t>
        </is>
      </c>
      <c r="J178" t="inlineStr">
        <is>
          <t>0</t>
        </is>
      </c>
      <c r="K178" t="inlineStr">
        <is>
          <t>Butler, B. C. (Basil Christopher)</t>
        </is>
      </c>
      <c r="L178" t="inlineStr">
        <is>
          <t>Wilmington, Del. : M. Glazier, 1983.</t>
        </is>
      </c>
      <c r="M178" t="inlineStr">
        <is>
          <t>1983</t>
        </is>
      </c>
      <c r="O178" t="inlineStr">
        <is>
          <t>eng</t>
        </is>
      </c>
      <c r="P178" t="inlineStr">
        <is>
          <t>deu</t>
        </is>
      </c>
      <c r="Q178" t="inlineStr">
        <is>
          <t>Ways of prayer series ; v. 10</t>
        </is>
      </c>
      <c r="R178" t="inlineStr">
        <is>
          <t xml:space="preserve">BV </t>
        </is>
      </c>
      <c r="S178" t="n">
        <v>8</v>
      </c>
      <c r="T178" t="n">
        <v>8</v>
      </c>
      <c r="U178" t="inlineStr">
        <is>
          <t>2003-07-29</t>
        </is>
      </c>
      <c r="V178" t="inlineStr">
        <is>
          <t>2003-07-29</t>
        </is>
      </c>
      <c r="W178" t="inlineStr">
        <is>
          <t>1992-12-01</t>
        </is>
      </c>
      <c r="X178" t="inlineStr">
        <is>
          <t>1992-12-01</t>
        </is>
      </c>
      <c r="Y178" t="n">
        <v>73</v>
      </c>
      <c r="Z178" t="n">
        <v>68</v>
      </c>
      <c r="AA178" t="n">
        <v>103</v>
      </c>
      <c r="AB178" t="n">
        <v>2</v>
      </c>
      <c r="AC178" t="n">
        <v>2</v>
      </c>
      <c r="AD178" t="n">
        <v>9</v>
      </c>
      <c r="AE178" t="n">
        <v>12</v>
      </c>
      <c r="AF178" t="n">
        <v>2</v>
      </c>
      <c r="AG178" t="n">
        <v>2</v>
      </c>
      <c r="AH178" t="n">
        <v>4</v>
      </c>
      <c r="AI178" t="n">
        <v>4</v>
      </c>
      <c r="AJ178" t="n">
        <v>6</v>
      </c>
      <c r="AK178" t="n">
        <v>9</v>
      </c>
      <c r="AL178" t="n">
        <v>0</v>
      </c>
      <c r="AM178" t="n">
        <v>0</v>
      </c>
      <c r="AN178" t="n">
        <v>0</v>
      </c>
      <c r="AO178" t="n">
        <v>0</v>
      </c>
      <c r="AP178" t="inlineStr">
        <is>
          <t>No</t>
        </is>
      </c>
      <c r="AQ178" t="inlineStr">
        <is>
          <t>Yes</t>
        </is>
      </c>
      <c r="AR178">
        <f>HYPERLINK("http://catalog.hathitrust.org/Record/102575952","HathiTrust Record")</f>
        <v/>
      </c>
      <c r="AS178">
        <f>HYPERLINK("https://creighton-primo.hosted.exlibrisgroup.com/primo-explore/search?tab=default_tab&amp;search_scope=EVERYTHING&amp;vid=01CRU&amp;lang=en_US&amp;offset=0&amp;query=any,contains,991000325339702656","Catalog Record")</f>
        <v/>
      </c>
      <c r="AT178">
        <f>HYPERLINK("http://www.worldcat.org/oclc/10165264","WorldCat Record")</f>
        <v/>
      </c>
      <c r="AU178" t="inlineStr">
        <is>
          <t>4268917:eng</t>
        </is>
      </c>
      <c r="AV178" t="inlineStr">
        <is>
          <t>10165264</t>
        </is>
      </c>
      <c r="AW178" t="inlineStr">
        <is>
          <t>991000325339702656</t>
        </is>
      </c>
      <c r="AX178" t="inlineStr">
        <is>
          <t>991000325339702656</t>
        </is>
      </c>
      <c r="AY178" t="inlineStr">
        <is>
          <t>2262369900002656</t>
        </is>
      </c>
      <c r="AZ178" t="inlineStr">
        <is>
          <t>BOOK</t>
        </is>
      </c>
      <c r="BB178" t="inlineStr">
        <is>
          <t>9780894532825</t>
        </is>
      </c>
      <c r="BC178" t="inlineStr">
        <is>
          <t>32285001434330</t>
        </is>
      </c>
      <c r="BD178" t="inlineStr">
        <is>
          <t>893431867</t>
        </is>
      </c>
    </row>
    <row r="179">
      <c r="A179" t="inlineStr">
        <is>
          <t>No</t>
        </is>
      </c>
      <c r="B179" t="inlineStr">
        <is>
          <t>BV210.2 .C36 1974</t>
        </is>
      </c>
      <c r="C179" t="inlineStr">
        <is>
          <t>0                      BV 0210200C  36          1974</t>
        </is>
      </c>
      <c r="D179" t="inlineStr">
        <is>
          <t>Prayer is love / by Edward Carter.</t>
        </is>
      </c>
      <c r="F179" t="inlineStr">
        <is>
          <t>No</t>
        </is>
      </c>
      <c r="G179" t="inlineStr">
        <is>
          <t>1</t>
        </is>
      </c>
      <c r="H179" t="inlineStr">
        <is>
          <t>No</t>
        </is>
      </c>
      <c r="I179" t="inlineStr">
        <is>
          <t>No</t>
        </is>
      </c>
      <c r="J179" t="inlineStr">
        <is>
          <t>0</t>
        </is>
      </c>
      <c r="K179" t="inlineStr">
        <is>
          <t>Carter, Edward, 1929-</t>
        </is>
      </c>
      <c r="L179" t="inlineStr">
        <is>
          <t>St. Meinrad, Ind. : Abbey Press, 1974.</t>
        </is>
      </c>
      <c r="M179" t="inlineStr">
        <is>
          <t>1974</t>
        </is>
      </c>
      <c r="O179" t="inlineStr">
        <is>
          <t>eng</t>
        </is>
      </c>
      <c r="P179" t="inlineStr">
        <is>
          <t>inu</t>
        </is>
      </c>
      <c r="Q179" t="inlineStr">
        <is>
          <t>A Priority edition</t>
        </is>
      </c>
      <c r="R179" t="inlineStr">
        <is>
          <t xml:space="preserve">BV </t>
        </is>
      </c>
      <c r="S179" t="n">
        <v>1</v>
      </c>
      <c r="T179" t="n">
        <v>1</v>
      </c>
      <c r="U179" t="inlineStr">
        <is>
          <t>1992-06-29</t>
        </is>
      </c>
      <c r="V179" t="inlineStr">
        <is>
          <t>1992-06-29</t>
        </is>
      </c>
      <c r="W179" t="inlineStr">
        <is>
          <t>1991-11-25</t>
        </is>
      </c>
      <c r="X179" t="inlineStr">
        <is>
          <t>1991-11-25</t>
        </is>
      </c>
      <c r="Y179" t="n">
        <v>62</v>
      </c>
      <c r="Z179" t="n">
        <v>54</v>
      </c>
      <c r="AA179" t="n">
        <v>59</v>
      </c>
      <c r="AB179" t="n">
        <v>2</v>
      </c>
      <c r="AC179" t="n">
        <v>2</v>
      </c>
      <c r="AD179" t="n">
        <v>8</v>
      </c>
      <c r="AE179" t="n">
        <v>8</v>
      </c>
      <c r="AF179" t="n">
        <v>1</v>
      </c>
      <c r="AG179" t="n">
        <v>1</v>
      </c>
      <c r="AH179" t="n">
        <v>2</v>
      </c>
      <c r="AI179" t="n">
        <v>2</v>
      </c>
      <c r="AJ179" t="n">
        <v>7</v>
      </c>
      <c r="AK179" t="n">
        <v>7</v>
      </c>
      <c r="AL179" t="n">
        <v>0</v>
      </c>
      <c r="AM179" t="n">
        <v>0</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HYPERLINK("https://creighton-primo.hosted.exlibrisgroup.com/primo-explore/search?tab=default_tab&amp;search_scope=EVERYTHING&amp;vid=01CRU&amp;lang=en_US&amp;offset=0&amp;query=any,contains,991003476529702656","Catalog Record")</f>
        <v/>
      </c>
      <c r="AT179">
        <f>HYPERLINK("http://www.worldcat.org/oclc/1021481","WorldCat Record")</f>
        <v/>
      </c>
      <c r="AU179" t="inlineStr">
        <is>
          <t>1949364:eng</t>
        </is>
      </c>
      <c r="AV179" t="inlineStr">
        <is>
          <t>1021481</t>
        </is>
      </c>
      <c r="AW179" t="inlineStr">
        <is>
          <t>991003476529702656</t>
        </is>
      </c>
      <c r="AX179" t="inlineStr">
        <is>
          <t>991003476529702656</t>
        </is>
      </c>
      <c r="AY179" t="inlineStr">
        <is>
          <t>2271066300002656</t>
        </is>
      </c>
      <c r="AZ179" t="inlineStr">
        <is>
          <t>BOOK</t>
        </is>
      </c>
      <c r="BB179" t="inlineStr">
        <is>
          <t>9780870290305</t>
        </is>
      </c>
      <c r="BC179" t="inlineStr">
        <is>
          <t>32285004806245</t>
        </is>
      </c>
      <c r="BD179" t="inlineStr">
        <is>
          <t>893623524</t>
        </is>
      </c>
    </row>
    <row r="180">
      <c r="A180" t="inlineStr">
        <is>
          <t>No</t>
        </is>
      </c>
      <c r="B180" t="inlineStr">
        <is>
          <t>BV210.2 .C47 1984</t>
        </is>
      </c>
      <c r="C180" t="inlineStr">
        <is>
          <t>0                      BV 0210200C  47          1984</t>
        </is>
      </c>
      <c r="D180" t="inlineStr">
        <is>
          <t>Behind closed doors : a handbook on how to pray / Joseph M. Champlin.</t>
        </is>
      </c>
      <c r="F180" t="inlineStr">
        <is>
          <t>No</t>
        </is>
      </c>
      <c r="G180" t="inlineStr">
        <is>
          <t>1</t>
        </is>
      </c>
      <c r="H180" t="inlineStr">
        <is>
          <t>No</t>
        </is>
      </c>
      <c r="I180" t="inlineStr">
        <is>
          <t>No</t>
        </is>
      </c>
      <c r="J180" t="inlineStr">
        <is>
          <t>0</t>
        </is>
      </c>
      <c r="K180" t="inlineStr">
        <is>
          <t>Champlin, Joseph M.</t>
        </is>
      </c>
      <c r="L180" t="inlineStr">
        <is>
          <t>New York : Paulist Press, c1984.</t>
        </is>
      </c>
      <c r="M180" t="inlineStr">
        <is>
          <t>1984</t>
        </is>
      </c>
      <c r="O180" t="inlineStr">
        <is>
          <t>eng</t>
        </is>
      </c>
      <c r="P180" t="inlineStr">
        <is>
          <t>nyu</t>
        </is>
      </c>
      <c r="R180" t="inlineStr">
        <is>
          <t xml:space="preserve">BV </t>
        </is>
      </c>
      <c r="S180" t="n">
        <v>7</v>
      </c>
      <c r="T180" t="n">
        <v>7</v>
      </c>
      <c r="U180" t="inlineStr">
        <is>
          <t>1999-11-27</t>
        </is>
      </c>
      <c r="V180" t="inlineStr">
        <is>
          <t>1999-11-27</t>
        </is>
      </c>
      <c r="W180" t="inlineStr">
        <is>
          <t>1991-11-25</t>
        </is>
      </c>
      <c r="X180" t="inlineStr">
        <is>
          <t>1991-11-25</t>
        </is>
      </c>
      <c r="Y180" t="n">
        <v>115</v>
      </c>
      <c r="Z180" t="n">
        <v>104</v>
      </c>
      <c r="AA180" t="n">
        <v>109</v>
      </c>
      <c r="AB180" t="n">
        <v>2</v>
      </c>
      <c r="AC180" t="n">
        <v>2</v>
      </c>
      <c r="AD180" t="n">
        <v>8</v>
      </c>
      <c r="AE180" t="n">
        <v>8</v>
      </c>
      <c r="AF180" t="n">
        <v>1</v>
      </c>
      <c r="AG180" t="n">
        <v>1</v>
      </c>
      <c r="AH180" t="n">
        <v>2</v>
      </c>
      <c r="AI180" t="n">
        <v>2</v>
      </c>
      <c r="AJ180" t="n">
        <v>6</v>
      </c>
      <c r="AK180" t="n">
        <v>6</v>
      </c>
      <c r="AL180" t="n">
        <v>0</v>
      </c>
      <c r="AM180" t="n">
        <v>0</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HYPERLINK("https://creighton-primo.hosted.exlibrisgroup.com/primo-explore/search?tab=default_tab&amp;search_scope=EVERYTHING&amp;vid=01CRU&amp;lang=en_US&amp;offset=0&amp;query=any,contains,991000598149702656","Catalog Record")</f>
        <v/>
      </c>
      <c r="AT180">
        <f>HYPERLINK("http://www.worldcat.org/oclc/11815569","WorldCat Record")</f>
        <v/>
      </c>
      <c r="AU180" t="inlineStr">
        <is>
          <t>4421501:eng</t>
        </is>
      </c>
      <c r="AV180" t="inlineStr">
        <is>
          <t>11815569</t>
        </is>
      </c>
      <c r="AW180" t="inlineStr">
        <is>
          <t>991000598149702656</t>
        </is>
      </c>
      <c r="AX180" t="inlineStr">
        <is>
          <t>991000598149702656</t>
        </is>
      </c>
      <c r="AY180" t="inlineStr">
        <is>
          <t>2261813650002656</t>
        </is>
      </c>
      <c r="AZ180" t="inlineStr">
        <is>
          <t>BOOK</t>
        </is>
      </c>
      <c r="BB180" t="inlineStr">
        <is>
          <t>9780809126378</t>
        </is>
      </c>
      <c r="BC180" t="inlineStr">
        <is>
          <t>32285000836444</t>
        </is>
      </c>
      <c r="BD180" t="inlineStr">
        <is>
          <t>893413506</t>
        </is>
      </c>
    </row>
    <row r="181">
      <c r="A181" t="inlineStr">
        <is>
          <t>No</t>
        </is>
      </c>
      <c r="B181" t="inlineStr">
        <is>
          <t>BV210.2 .C63 2001</t>
        </is>
      </c>
      <c r="C181" t="inlineStr">
        <is>
          <t>0                      BV 0210200C  63          2001</t>
        </is>
      </c>
      <c r="D181" t="inlineStr">
        <is>
          <t>Prayer in practice : a biblical approach / Pat Collins.</t>
        </is>
      </c>
      <c r="F181" t="inlineStr">
        <is>
          <t>No</t>
        </is>
      </c>
      <c r="G181" t="inlineStr">
        <is>
          <t>1</t>
        </is>
      </c>
      <c r="H181" t="inlineStr">
        <is>
          <t>No</t>
        </is>
      </c>
      <c r="I181" t="inlineStr">
        <is>
          <t>No</t>
        </is>
      </c>
      <c r="J181" t="inlineStr">
        <is>
          <t>0</t>
        </is>
      </c>
      <c r="K181" t="inlineStr">
        <is>
          <t>Collins, Pat.</t>
        </is>
      </c>
      <c r="L181" t="inlineStr">
        <is>
          <t>Maryknoll, N.Y. : Orbis Books 2001.</t>
        </is>
      </c>
      <c r="M181" t="inlineStr">
        <is>
          <t>2001</t>
        </is>
      </c>
      <c r="O181" t="inlineStr">
        <is>
          <t>eng</t>
        </is>
      </c>
      <c r="P181" t="inlineStr">
        <is>
          <t>nyu</t>
        </is>
      </c>
      <c r="R181" t="inlineStr">
        <is>
          <t xml:space="preserve">BV </t>
        </is>
      </c>
      <c r="S181" t="n">
        <v>6</v>
      </c>
      <c r="T181" t="n">
        <v>6</v>
      </c>
      <c r="U181" t="inlineStr">
        <is>
          <t>2007-07-15</t>
        </is>
      </c>
      <c r="V181" t="inlineStr">
        <is>
          <t>2007-07-15</t>
        </is>
      </c>
      <c r="W181" t="inlineStr">
        <is>
          <t>2001-05-01</t>
        </is>
      </c>
      <c r="X181" t="inlineStr">
        <is>
          <t>2001-05-01</t>
        </is>
      </c>
      <c r="Y181" t="n">
        <v>82</v>
      </c>
      <c r="Z181" t="n">
        <v>74</v>
      </c>
      <c r="AA181" t="n">
        <v>94</v>
      </c>
      <c r="AB181" t="n">
        <v>1</v>
      </c>
      <c r="AC181" t="n">
        <v>2</v>
      </c>
      <c r="AD181" t="n">
        <v>5</v>
      </c>
      <c r="AE181" t="n">
        <v>7</v>
      </c>
      <c r="AF181" t="n">
        <v>1</v>
      </c>
      <c r="AG181" t="n">
        <v>2</v>
      </c>
      <c r="AH181" t="n">
        <v>2</v>
      </c>
      <c r="AI181" t="n">
        <v>3</v>
      </c>
      <c r="AJ181" t="n">
        <v>2</v>
      </c>
      <c r="AK181" t="n">
        <v>2</v>
      </c>
      <c r="AL181" t="n">
        <v>0</v>
      </c>
      <c r="AM181" t="n">
        <v>1</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HYPERLINK("https://creighton-primo.hosted.exlibrisgroup.com/primo-explore/search?tab=default_tab&amp;search_scope=EVERYTHING&amp;vid=01CRU&amp;lang=en_US&amp;offset=0&amp;query=any,contains,991003530969702656","Catalog Record")</f>
        <v/>
      </c>
      <c r="AT181">
        <f>HYPERLINK("http://www.worldcat.org/oclc/44650829","WorldCat Record")</f>
        <v/>
      </c>
      <c r="AU181" t="inlineStr">
        <is>
          <t>35903719:eng</t>
        </is>
      </c>
      <c r="AV181" t="inlineStr">
        <is>
          <t>44650829</t>
        </is>
      </c>
      <c r="AW181" t="inlineStr">
        <is>
          <t>991003530969702656</t>
        </is>
      </c>
      <c r="AX181" t="inlineStr">
        <is>
          <t>991003530969702656</t>
        </is>
      </c>
      <c r="AY181" t="inlineStr">
        <is>
          <t>2266819670002656</t>
        </is>
      </c>
      <c r="AZ181" t="inlineStr">
        <is>
          <t>BOOK</t>
        </is>
      </c>
      <c r="BB181" t="inlineStr">
        <is>
          <t>9781570753534</t>
        </is>
      </c>
      <c r="BC181" t="inlineStr">
        <is>
          <t>32285004315593</t>
        </is>
      </c>
      <c r="BD181" t="inlineStr">
        <is>
          <t>893604884</t>
        </is>
      </c>
    </row>
    <row r="182">
      <c r="A182" t="inlineStr">
        <is>
          <t>No</t>
        </is>
      </c>
      <c r="B182" t="inlineStr">
        <is>
          <t>BV210.2 .D35 1982</t>
        </is>
      </c>
      <c r="C182" t="inlineStr">
        <is>
          <t>0                      BV 0210200D  35          1982</t>
        </is>
      </c>
      <c r="D182" t="inlineStr">
        <is>
          <t>Asking the father : a study of the prayer of petition / by Gabriel Daly.</t>
        </is>
      </c>
      <c r="F182" t="inlineStr">
        <is>
          <t>No</t>
        </is>
      </c>
      <c r="G182" t="inlineStr">
        <is>
          <t>1</t>
        </is>
      </c>
      <c r="H182" t="inlineStr">
        <is>
          <t>No</t>
        </is>
      </c>
      <c r="I182" t="inlineStr">
        <is>
          <t>No</t>
        </is>
      </c>
      <c r="J182" t="inlineStr">
        <is>
          <t>0</t>
        </is>
      </c>
      <c r="K182" t="inlineStr">
        <is>
          <t>Daly, Gabriel.</t>
        </is>
      </c>
      <c r="L182" t="inlineStr">
        <is>
          <t>Wilmington, Del. : Michael Glazier, 1982.</t>
        </is>
      </c>
      <c r="M182" t="inlineStr">
        <is>
          <t>1982</t>
        </is>
      </c>
      <c r="O182" t="inlineStr">
        <is>
          <t>eng</t>
        </is>
      </c>
      <c r="P182" t="inlineStr">
        <is>
          <t>deu</t>
        </is>
      </c>
      <c r="Q182" t="inlineStr">
        <is>
          <t>Ways of prayer series ; v. 4</t>
        </is>
      </c>
      <c r="R182" t="inlineStr">
        <is>
          <t xml:space="preserve">BV </t>
        </is>
      </c>
      <c r="S182" t="n">
        <v>1</v>
      </c>
      <c r="T182" t="n">
        <v>1</v>
      </c>
      <c r="U182" t="inlineStr">
        <is>
          <t>1999-05-08</t>
        </is>
      </c>
      <c r="V182" t="inlineStr">
        <is>
          <t>1999-05-08</t>
        </is>
      </c>
      <c r="W182" t="inlineStr">
        <is>
          <t>1991-11-25</t>
        </is>
      </c>
      <c r="X182" t="inlineStr">
        <is>
          <t>1991-11-25</t>
        </is>
      </c>
      <c r="Y182" t="n">
        <v>108</v>
      </c>
      <c r="Z182" t="n">
        <v>90</v>
      </c>
      <c r="AA182" t="n">
        <v>91</v>
      </c>
      <c r="AB182" t="n">
        <v>2</v>
      </c>
      <c r="AC182" t="n">
        <v>2</v>
      </c>
      <c r="AD182" t="n">
        <v>12</v>
      </c>
      <c r="AE182" t="n">
        <v>12</v>
      </c>
      <c r="AF182" t="n">
        <v>2</v>
      </c>
      <c r="AG182" t="n">
        <v>2</v>
      </c>
      <c r="AH182" t="n">
        <v>5</v>
      </c>
      <c r="AI182" t="n">
        <v>5</v>
      </c>
      <c r="AJ182" t="n">
        <v>9</v>
      </c>
      <c r="AK182" t="n">
        <v>9</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HYPERLINK("https://creighton-primo.hosted.exlibrisgroup.com/primo-explore/search?tab=default_tab&amp;search_scope=EVERYTHING&amp;vid=01CRU&amp;lang=en_US&amp;offset=0&amp;query=any,contains,991000178229702656","Catalog Record")</f>
        <v/>
      </c>
      <c r="AT182">
        <f>HYPERLINK("http://www.worldcat.org/oclc/9369570","WorldCat Record")</f>
        <v/>
      </c>
      <c r="AU182" t="inlineStr">
        <is>
          <t>2075439580:eng</t>
        </is>
      </c>
      <c r="AV182" t="inlineStr">
        <is>
          <t>9369570</t>
        </is>
      </c>
      <c r="AW182" t="inlineStr">
        <is>
          <t>991000178229702656</t>
        </is>
      </c>
      <c r="AX182" t="inlineStr">
        <is>
          <t>991000178229702656</t>
        </is>
      </c>
      <c r="AY182" t="inlineStr">
        <is>
          <t>2258984340002656</t>
        </is>
      </c>
      <c r="AZ182" t="inlineStr">
        <is>
          <t>BOOK</t>
        </is>
      </c>
      <c r="BB182" t="inlineStr">
        <is>
          <t>9780894532771</t>
        </is>
      </c>
      <c r="BC182" t="inlineStr">
        <is>
          <t>32285000836451</t>
        </is>
      </c>
      <c r="BD182" t="inlineStr">
        <is>
          <t>893333277</t>
        </is>
      </c>
    </row>
    <row r="183">
      <c r="A183" t="inlineStr">
        <is>
          <t>No</t>
        </is>
      </c>
      <c r="B183" t="inlineStr">
        <is>
          <t>BV210.2 .E33 1975b</t>
        </is>
      </c>
      <c r="C183" t="inlineStr">
        <is>
          <t>0                      BV 0210200E  33          1975b</t>
        </is>
      </c>
      <c r="D183" t="inlineStr">
        <is>
          <t>Yes to God / Alan Ecclestone. --</t>
        </is>
      </c>
      <c r="F183" t="inlineStr">
        <is>
          <t>No</t>
        </is>
      </c>
      <c r="G183" t="inlineStr">
        <is>
          <t>1</t>
        </is>
      </c>
      <c r="H183" t="inlineStr">
        <is>
          <t>No</t>
        </is>
      </c>
      <c r="I183" t="inlineStr">
        <is>
          <t>No</t>
        </is>
      </c>
      <c r="J183" t="inlineStr">
        <is>
          <t>0</t>
        </is>
      </c>
      <c r="K183" t="inlineStr">
        <is>
          <t>Ecclestone, Alan.</t>
        </is>
      </c>
      <c r="L183" t="inlineStr">
        <is>
          <t>London : Darton, Longman &amp; Todd, 1975.</t>
        </is>
      </c>
      <c r="M183" t="inlineStr">
        <is>
          <t>1975</t>
        </is>
      </c>
      <c r="O183" t="inlineStr">
        <is>
          <t>eng</t>
        </is>
      </c>
      <c r="P183" t="inlineStr">
        <is>
          <t xml:space="preserve">xx </t>
        </is>
      </c>
      <c r="R183" t="inlineStr">
        <is>
          <t xml:space="preserve">BV </t>
        </is>
      </c>
      <c r="S183" t="n">
        <v>2</v>
      </c>
      <c r="T183" t="n">
        <v>2</v>
      </c>
      <c r="U183" t="inlineStr">
        <is>
          <t>1995-07-13</t>
        </is>
      </c>
      <c r="V183" t="inlineStr">
        <is>
          <t>1995-07-13</t>
        </is>
      </c>
      <c r="W183" t="inlineStr">
        <is>
          <t>1991-11-25</t>
        </is>
      </c>
      <c r="X183" t="inlineStr">
        <is>
          <t>1991-11-25</t>
        </is>
      </c>
      <c r="Y183" t="n">
        <v>67</v>
      </c>
      <c r="Z183" t="n">
        <v>17</v>
      </c>
      <c r="AA183" t="n">
        <v>66</v>
      </c>
      <c r="AB183" t="n">
        <v>1</v>
      </c>
      <c r="AC183" t="n">
        <v>1</v>
      </c>
      <c r="AD183" t="n">
        <v>2</v>
      </c>
      <c r="AE183" t="n">
        <v>7</v>
      </c>
      <c r="AF183" t="n">
        <v>0</v>
      </c>
      <c r="AG183" t="n">
        <v>1</v>
      </c>
      <c r="AH183" t="n">
        <v>0</v>
      </c>
      <c r="AI183" t="n">
        <v>2</v>
      </c>
      <c r="AJ183" t="n">
        <v>2</v>
      </c>
      <c r="AK183" t="n">
        <v>5</v>
      </c>
      <c r="AL183" t="n">
        <v>0</v>
      </c>
      <c r="AM183" t="n">
        <v>0</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HYPERLINK("https://creighton-primo.hosted.exlibrisgroup.com/primo-explore/search?tab=default_tab&amp;search_scope=EVERYTHING&amp;vid=01CRU&amp;lang=en_US&amp;offset=0&amp;query=any,contains,991003861839702656","Catalog Record")</f>
        <v/>
      </c>
      <c r="AT183">
        <f>HYPERLINK("http://www.worldcat.org/oclc/1668333","WorldCat Record")</f>
        <v/>
      </c>
      <c r="AU183" t="inlineStr">
        <is>
          <t>2488795:eng</t>
        </is>
      </c>
      <c r="AV183" t="inlineStr">
        <is>
          <t>1668333</t>
        </is>
      </c>
      <c r="AW183" t="inlineStr">
        <is>
          <t>991003861839702656</t>
        </is>
      </c>
      <c r="AX183" t="inlineStr">
        <is>
          <t>991003861839702656</t>
        </is>
      </c>
      <c r="AY183" t="inlineStr">
        <is>
          <t>2269550590002656</t>
        </is>
      </c>
      <c r="AZ183" t="inlineStr">
        <is>
          <t>BOOK</t>
        </is>
      </c>
      <c r="BB183" t="inlineStr">
        <is>
          <t>9780232512991</t>
        </is>
      </c>
      <c r="BC183" t="inlineStr">
        <is>
          <t>32285000836485</t>
        </is>
      </c>
      <c r="BD183" t="inlineStr">
        <is>
          <t>893617879</t>
        </is>
      </c>
    </row>
    <row r="184">
      <c r="A184" t="inlineStr">
        <is>
          <t>No</t>
        </is>
      </c>
      <c r="B184" t="inlineStr">
        <is>
          <t>BV210.2 .E43</t>
        </is>
      </c>
      <c r="C184" t="inlineStr">
        <is>
          <t>0                      BV 0210200E  43</t>
        </is>
      </c>
      <c r="D184" t="inlineStr">
        <is>
          <t>Prayer and modern man / Jacques Ellul. Translated by C. Edward Hopkin.</t>
        </is>
      </c>
      <c r="F184" t="inlineStr">
        <is>
          <t>No</t>
        </is>
      </c>
      <c r="G184" t="inlineStr">
        <is>
          <t>1</t>
        </is>
      </c>
      <c r="H184" t="inlineStr">
        <is>
          <t>No</t>
        </is>
      </c>
      <c r="I184" t="inlineStr">
        <is>
          <t>No</t>
        </is>
      </c>
      <c r="J184" t="inlineStr">
        <is>
          <t>0</t>
        </is>
      </c>
      <c r="K184" t="inlineStr">
        <is>
          <t>Ellul, Jacques, 1912-1994.</t>
        </is>
      </c>
      <c r="L184" t="inlineStr">
        <is>
          <t>New York, Seabury Press [1970]</t>
        </is>
      </c>
      <c r="M184" t="inlineStr">
        <is>
          <t>1970</t>
        </is>
      </c>
      <c r="O184" t="inlineStr">
        <is>
          <t>eng</t>
        </is>
      </c>
      <c r="P184" t="inlineStr">
        <is>
          <t>nyu</t>
        </is>
      </c>
      <c r="R184" t="inlineStr">
        <is>
          <t xml:space="preserve">BV </t>
        </is>
      </c>
      <c r="S184" t="n">
        <v>3</v>
      </c>
      <c r="T184" t="n">
        <v>3</v>
      </c>
      <c r="U184" t="inlineStr">
        <is>
          <t>1999-11-02</t>
        </is>
      </c>
      <c r="V184" t="inlineStr">
        <is>
          <t>1999-11-02</t>
        </is>
      </c>
      <c r="W184" t="inlineStr">
        <is>
          <t>1991-11-25</t>
        </is>
      </c>
      <c r="X184" t="inlineStr">
        <is>
          <t>1991-11-25</t>
        </is>
      </c>
      <c r="Y184" t="n">
        <v>677</v>
      </c>
      <c r="Z184" t="n">
        <v>599</v>
      </c>
      <c r="AA184" t="n">
        <v>662</v>
      </c>
      <c r="AB184" t="n">
        <v>8</v>
      </c>
      <c r="AC184" t="n">
        <v>9</v>
      </c>
      <c r="AD184" t="n">
        <v>38</v>
      </c>
      <c r="AE184" t="n">
        <v>41</v>
      </c>
      <c r="AF184" t="n">
        <v>15</v>
      </c>
      <c r="AG184" t="n">
        <v>15</v>
      </c>
      <c r="AH184" t="n">
        <v>6</v>
      </c>
      <c r="AI184" t="n">
        <v>7</v>
      </c>
      <c r="AJ184" t="n">
        <v>22</v>
      </c>
      <c r="AK184" t="n">
        <v>23</v>
      </c>
      <c r="AL184" t="n">
        <v>6</v>
      </c>
      <c r="AM184" t="n">
        <v>7</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HYPERLINK("https://creighton-primo.hosted.exlibrisgroup.com/primo-explore/search?tab=default_tab&amp;search_scope=EVERYTHING&amp;vid=01CRU&amp;lang=en_US&amp;offset=0&amp;query=any,contains,991000657619702656","Catalog Record")</f>
        <v/>
      </c>
      <c r="AT184">
        <f>HYPERLINK("http://www.worldcat.org/oclc/116190","WorldCat Record")</f>
        <v/>
      </c>
      <c r="AU184" t="inlineStr">
        <is>
          <t>2863468972:eng</t>
        </is>
      </c>
      <c r="AV184" t="inlineStr">
        <is>
          <t>116190</t>
        </is>
      </c>
      <c r="AW184" t="inlineStr">
        <is>
          <t>991000657619702656</t>
        </is>
      </c>
      <c r="AX184" t="inlineStr">
        <is>
          <t>991000657619702656</t>
        </is>
      </c>
      <c r="AY184" t="inlineStr">
        <is>
          <t>2260422330002656</t>
        </is>
      </c>
      <c r="AZ184" t="inlineStr">
        <is>
          <t>BOOK</t>
        </is>
      </c>
      <c r="BC184" t="inlineStr">
        <is>
          <t>32285000836493</t>
        </is>
      </c>
      <c r="BD184" t="inlineStr">
        <is>
          <t>893419661</t>
        </is>
      </c>
    </row>
    <row r="185">
      <c r="A185" t="inlineStr">
        <is>
          <t>No</t>
        </is>
      </c>
      <c r="B185" t="inlineStr">
        <is>
          <t>BV210.2 .E8813 1970</t>
        </is>
      </c>
      <c r="C185" t="inlineStr">
        <is>
          <t>0                      BV 0210200E  8813        1970</t>
        </is>
      </c>
      <c r="D185" t="inlineStr">
        <is>
          <t>Our prayer / by Louis Evely. [Translated by Paul Burns.</t>
        </is>
      </c>
      <c r="F185" t="inlineStr">
        <is>
          <t>No</t>
        </is>
      </c>
      <c r="G185" t="inlineStr">
        <is>
          <t>1</t>
        </is>
      </c>
      <c r="H185" t="inlineStr">
        <is>
          <t>No</t>
        </is>
      </c>
      <c r="I185" t="inlineStr">
        <is>
          <t>Yes</t>
        </is>
      </c>
      <c r="J185" t="inlineStr">
        <is>
          <t>0</t>
        </is>
      </c>
      <c r="K185" t="inlineStr">
        <is>
          <t>Évely, Louis, 1910-1985.</t>
        </is>
      </c>
      <c r="L185" t="inlineStr">
        <is>
          <t>New York] : Herder and Herder, [1970]</t>
        </is>
      </c>
      <c r="M185" t="inlineStr">
        <is>
          <t>1970</t>
        </is>
      </c>
      <c r="O185" t="inlineStr">
        <is>
          <t>eng</t>
        </is>
      </c>
      <c r="P185" t="inlineStr">
        <is>
          <t>nyu</t>
        </is>
      </c>
      <c r="R185" t="inlineStr">
        <is>
          <t xml:space="preserve">BV </t>
        </is>
      </c>
      <c r="S185" t="n">
        <v>2</v>
      </c>
      <c r="T185" t="n">
        <v>2</v>
      </c>
      <c r="U185" t="inlineStr">
        <is>
          <t>1992-03-28</t>
        </is>
      </c>
      <c r="V185" t="inlineStr">
        <is>
          <t>1992-03-28</t>
        </is>
      </c>
      <c r="W185" t="inlineStr">
        <is>
          <t>1991-11-25</t>
        </is>
      </c>
      <c r="X185" t="inlineStr">
        <is>
          <t>1991-11-25</t>
        </is>
      </c>
      <c r="Y185" t="n">
        <v>242</v>
      </c>
      <c r="Z185" t="n">
        <v>219</v>
      </c>
      <c r="AA185" t="n">
        <v>288</v>
      </c>
      <c r="AB185" t="n">
        <v>3</v>
      </c>
      <c r="AC185" t="n">
        <v>4</v>
      </c>
      <c r="AD185" t="n">
        <v>23</v>
      </c>
      <c r="AE185" t="n">
        <v>31</v>
      </c>
      <c r="AF185" t="n">
        <v>7</v>
      </c>
      <c r="AG185" t="n">
        <v>11</v>
      </c>
      <c r="AH185" t="n">
        <v>7</v>
      </c>
      <c r="AI185" t="n">
        <v>7</v>
      </c>
      <c r="AJ185" t="n">
        <v>17</v>
      </c>
      <c r="AK185" t="n">
        <v>24</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HYPERLINK("https://creighton-primo.hosted.exlibrisgroup.com/primo-explore/search?tab=default_tab&amp;search_scope=EVERYTHING&amp;vid=01CRU&amp;lang=en_US&amp;offset=0&amp;query=any,contains,991000581389702656","Catalog Record")</f>
        <v/>
      </c>
      <c r="AT185">
        <f>HYPERLINK("http://www.worldcat.org/oclc/95637","WorldCat Record")</f>
        <v/>
      </c>
      <c r="AU185" t="inlineStr">
        <is>
          <t>9349344185:eng</t>
        </is>
      </c>
      <c r="AV185" t="inlineStr">
        <is>
          <t>95637</t>
        </is>
      </c>
      <c r="AW185" t="inlineStr">
        <is>
          <t>991000581389702656</t>
        </is>
      </c>
      <c r="AX185" t="inlineStr">
        <is>
          <t>991000581389702656</t>
        </is>
      </c>
      <c r="AY185" t="inlineStr">
        <is>
          <t>2272320210002656</t>
        </is>
      </c>
      <c r="AZ185" t="inlineStr">
        <is>
          <t>BOOK</t>
        </is>
      </c>
      <c r="BC185" t="inlineStr">
        <is>
          <t>32285000836527</t>
        </is>
      </c>
      <c r="BD185" t="inlineStr">
        <is>
          <t>893339688</t>
        </is>
      </c>
    </row>
    <row r="186">
      <c r="A186" t="inlineStr">
        <is>
          <t>No</t>
        </is>
      </c>
      <c r="B186" t="inlineStr">
        <is>
          <t>BV210.2 .E9 1967</t>
        </is>
      </c>
      <c r="C186" t="inlineStr">
        <is>
          <t>0                      BV 0210200E  9           1967</t>
        </is>
      </c>
      <c r="D186" t="inlineStr">
        <is>
          <t>Teach us how to pray / Louis Evely. Translated by Edmond Bonin.</t>
        </is>
      </c>
      <c r="F186" t="inlineStr">
        <is>
          <t>No</t>
        </is>
      </c>
      <c r="G186" t="inlineStr">
        <is>
          <t>1</t>
        </is>
      </c>
      <c r="H186" t="inlineStr">
        <is>
          <t>No</t>
        </is>
      </c>
      <c r="I186" t="inlineStr">
        <is>
          <t>No</t>
        </is>
      </c>
      <c r="J186" t="inlineStr">
        <is>
          <t>0</t>
        </is>
      </c>
      <c r="K186" t="inlineStr">
        <is>
          <t>Évely, Louis, 1910-1985.</t>
        </is>
      </c>
      <c r="L186" t="inlineStr">
        <is>
          <t>Westminster, Md. : Newman Press, [1967]</t>
        </is>
      </c>
      <c r="M186" t="inlineStr">
        <is>
          <t>1967</t>
        </is>
      </c>
      <c r="O186" t="inlineStr">
        <is>
          <t>eng</t>
        </is>
      </c>
      <c r="P186" t="inlineStr">
        <is>
          <t>mdu</t>
        </is>
      </c>
      <c r="R186" t="inlineStr">
        <is>
          <t xml:space="preserve">BV </t>
        </is>
      </c>
      <c r="S186" t="n">
        <v>3</v>
      </c>
      <c r="T186" t="n">
        <v>3</v>
      </c>
      <c r="U186" t="inlineStr">
        <is>
          <t>1992-03-28</t>
        </is>
      </c>
      <c r="V186" t="inlineStr">
        <is>
          <t>1992-03-28</t>
        </is>
      </c>
      <c r="W186" t="inlineStr">
        <is>
          <t>1991-11-25</t>
        </is>
      </c>
      <c r="X186" t="inlineStr">
        <is>
          <t>1991-11-25</t>
        </is>
      </c>
      <c r="Y186" t="n">
        <v>254</v>
      </c>
      <c r="Z186" t="n">
        <v>226</v>
      </c>
      <c r="AA186" t="n">
        <v>235</v>
      </c>
      <c r="AB186" t="n">
        <v>2</v>
      </c>
      <c r="AC186" t="n">
        <v>2</v>
      </c>
      <c r="AD186" t="n">
        <v>21</v>
      </c>
      <c r="AE186" t="n">
        <v>21</v>
      </c>
      <c r="AF186" t="n">
        <v>6</v>
      </c>
      <c r="AG186" t="n">
        <v>6</v>
      </c>
      <c r="AH186" t="n">
        <v>5</v>
      </c>
      <c r="AI186" t="n">
        <v>5</v>
      </c>
      <c r="AJ186" t="n">
        <v>17</v>
      </c>
      <c r="AK186" t="n">
        <v>17</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HYPERLINK("https://creighton-primo.hosted.exlibrisgroup.com/primo-explore/search?tab=default_tab&amp;search_scope=EVERYTHING&amp;vid=01CRU&amp;lang=en_US&amp;offset=0&amp;query=any,contains,991003855339702656","Catalog Record")</f>
        <v/>
      </c>
      <c r="AT186">
        <f>HYPERLINK("http://www.worldcat.org/oclc/1652596","WorldCat Record")</f>
        <v/>
      </c>
      <c r="AU186" t="inlineStr">
        <is>
          <t>29158823:eng</t>
        </is>
      </c>
      <c r="AV186" t="inlineStr">
        <is>
          <t>1652596</t>
        </is>
      </c>
      <c r="AW186" t="inlineStr">
        <is>
          <t>991003855339702656</t>
        </is>
      </c>
      <c r="AX186" t="inlineStr">
        <is>
          <t>991003855339702656</t>
        </is>
      </c>
      <c r="AY186" t="inlineStr">
        <is>
          <t>2271716240002656</t>
        </is>
      </c>
      <c r="AZ186" t="inlineStr">
        <is>
          <t>BOOK</t>
        </is>
      </c>
      <c r="BC186" t="inlineStr">
        <is>
          <t>32285000836535</t>
        </is>
      </c>
      <c r="BD186" t="inlineStr">
        <is>
          <t>893499791</t>
        </is>
      </c>
    </row>
    <row r="187">
      <c r="A187" t="inlineStr">
        <is>
          <t>No</t>
        </is>
      </c>
      <c r="B187" t="inlineStr">
        <is>
          <t>BV210.2 .F3 1972</t>
        </is>
      </c>
      <c r="C187" t="inlineStr">
        <is>
          <t>0                      BV 0210200F  3           1972</t>
        </is>
      </c>
      <c r="D187" t="inlineStr">
        <is>
          <t>Prayer is a hunger / by Edward J. Farrell.</t>
        </is>
      </c>
      <c r="F187" t="inlineStr">
        <is>
          <t>No</t>
        </is>
      </c>
      <c r="G187" t="inlineStr">
        <is>
          <t>1</t>
        </is>
      </c>
      <c r="H187" t="inlineStr">
        <is>
          <t>No</t>
        </is>
      </c>
      <c r="I187" t="inlineStr">
        <is>
          <t>No</t>
        </is>
      </c>
      <c r="J187" t="inlineStr">
        <is>
          <t>0</t>
        </is>
      </c>
      <c r="K187" t="inlineStr">
        <is>
          <t>Farrell, Edward J.</t>
        </is>
      </c>
      <c r="L187" t="inlineStr">
        <is>
          <t>Denville, N.J. : Dimension Books, [1972]</t>
        </is>
      </c>
      <c r="M187" t="inlineStr">
        <is>
          <t>1972</t>
        </is>
      </c>
      <c r="O187" t="inlineStr">
        <is>
          <t>eng</t>
        </is>
      </c>
      <c r="P187" t="inlineStr">
        <is>
          <t>___</t>
        </is>
      </c>
      <c r="R187" t="inlineStr">
        <is>
          <t xml:space="preserve">BV </t>
        </is>
      </c>
      <c r="S187" t="n">
        <v>2</v>
      </c>
      <c r="T187" t="n">
        <v>2</v>
      </c>
      <c r="U187" t="inlineStr">
        <is>
          <t>1998-07-15</t>
        </is>
      </c>
      <c r="V187" t="inlineStr">
        <is>
          <t>1998-07-15</t>
        </is>
      </c>
      <c r="W187" t="inlineStr">
        <is>
          <t>1991-11-25</t>
        </is>
      </c>
      <c r="X187" t="inlineStr">
        <is>
          <t>1991-11-25</t>
        </is>
      </c>
      <c r="Y187" t="n">
        <v>191</v>
      </c>
      <c r="Z187" t="n">
        <v>171</v>
      </c>
      <c r="AA187" t="n">
        <v>181</v>
      </c>
      <c r="AB187" t="n">
        <v>2</v>
      </c>
      <c r="AC187" t="n">
        <v>2</v>
      </c>
      <c r="AD187" t="n">
        <v>20</v>
      </c>
      <c r="AE187" t="n">
        <v>20</v>
      </c>
      <c r="AF187" t="n">
        <v>5</v>
      </c>
      <c r="AG187" t="n">
        <v>5</v>
      </c>
      <c r="AH187" t="n">
        <v>6</v>
      </c>
      <c r="AI187" t="n">
        <v>6</v>
      </c>
      <c r="AJ187" t="n">
        <v>16</v>
      </c>
      <c r="AK187" t="n">
        <v>16</v>
      </c>
      <c r="AL187" t="n">
        <v>0</v>
      </c>
      <c r="AM187" t="n">
        <v>0</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HYPERLINK("https://creighton-primo.hosted.exlibrisgroup.com/primo-explore/search?tab=default_tab&amp;search_scope=EVERYTHING&amp;vid=01CRU&amp;lang=en_US&amp;offset=0&amp;query=any,contains,991002581439702656","Catalog Record")</f>
        <v/>
      </c>
      <c r="AT187">
        <f>HYPERLINK("http://www.worldcat.org/oclc/375217","WorldCat Record")</f>
        <v/>
      </c>
      <c r="AU187" t="inlineStr">
        <is>
          <t>1463009:eng</t>
        </is>
      </c>
      <c r="AV187" t="inlineStr">
        <is>
          <t>375217</t>
        </is>
      </c>
      <c r="AW187" t="inlineStr">
        <is>
          <t>991002581439702656</t>
        </is>
      </c>
      <c r="AX187" t="inlineStr">
        <is>
          <t>991002581439702656</t>
        </is>
      </c>
      <c r="AY187" t="inlineStr">
        <is>
          <t>2264082140002656</t>
        </is>
      </c>
      <c r="AZ187" t="inlineStr">
        <is>
          <t>BOOK</t>
        </is>
      </c>
      <c r="BC187" t="inlineStr">
        <is>
          <t>32285000836543</t>
        </is>
      </c>
      <c r="BD187" t="inlineStr">
        <is>
          <t>893239242</t>
        </is>
      </c>
    </row>
    <row r="188">
      <c r="A188" t="inlineStr">
        <is>
          <t>No</t>
        </is>
      </c>
      <c r="B188" t="inlineStr">
        <is>
          <t>BV210.2 .F56 1984</t>
        </is>
      </c>
      <c r="C188" t="inlineStr">
        <is>
          <t>0                      BV 0210200F  56          1984</t>
        </is>
      </c>
      <c r="D188" t="inlineStr">
        <is>
          <t>The awakening call : fostering intimacy with God / James Finley.</t>
        </is>
      </c>
      <c r="F188" t="inlineStr">
        <is>
          <t>No</t>
        </is>
      </c>
      <c r="G188" t="inlineStr">
        <is>
          <t>1</t>
        </is>
      </c>
      <c r="H188" t="inlineStr">
        <is>
          <t>No</t>
        </is>
      </c>
      <c r="I188" t="inlineStr">
        <is>
          <t>No</t>
        </is>
      </c>
      <c r="J188" t="inlineStr">
        <is>
          <t>0</t>
        </is>
      </c>
      <c r="K188" t="inlineStr">
        <is>
          <t>Finley, James.</t>
        </is>
      </c>
      <c r="L188" t="inlineStr">
        <is>
          <t>Notre Dame, Ind. : Ave Maria Press, 1984.</t>
        </is>
      </c>
      <c r="M188" t="inlineStr">
        <is>
          <t>1984</t>
        </is>
      </c>
      <c r="O188" t="inlineStr">
        <is>
          <t>eng</t>
        </is>
      </c>
      <c r="P188" t="inlineStr">
        <is>
          <t>inu</t>
        </is>
      </c>
      <c r="R188" t="inlineStr">
        <is>
          <t xml:space="preserve">BV </t>
        </is>
      </c>
      <c r="S188" t="n">
        <v>6</v>
      </c>
      <c r="T188" t="n">
        <v>6</v>
      </c>
      <c r="U188" t="inlineStr">
        <is>
          <t>2002-07-15</t>
        </is>
      </c>
      <c r="V188" t="inlineStr">
        <is>
          <t>2002-07-15</t>
        </is>
      </c>
      <c r="W188" t="inlineStr">
        <is>
          <t>1990-03-28</t>
        </is>
      </c>
      <c r="X188" t="inlineStr">
        <is>
          <t>1990-03-28</t>
        </is>
      </c>
      <c r="Y188" t="n">
        <v>190</v>
      </c>
      <c r="Z188" t="n">
        <v>169</v>
      </c>
      <c r="AA188" t="n">
        <v>169</v>
      </c>
      <c r="AB188" t="n">
        <v>3</v>
      </c>
      <c r="AC188" t="n">
        <v>3</v>
      </c>
      <c r="AD188" t="n">
        <v>13</v>
      </c>
      <c r="AE188" t="n">
        <v>13</v>
      </c>
      <c r="AF188" t="n">
        <v>2</v>
      </c>
      <c r="AG188" t="n">
        <v>2</v>
      </c>
      <c r="AH188" t="n">
        <v>2</v>
      </c>
      <c r="AI188" t="n">
        <v>2</v>
      </c>
      <c r="AJ188" t="n">
        <v>11</v>
      </c>
      <c r="AK188" t="n">
        <v>11</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HYPERLINK("https://creighton-primo.hosted.exlibrisgroup.com/primo-explore/search?tab=default_tab&amp;search_scope=EVERYTHING&amp;vid=01CRU&amp;lang=en_US&amp;offset=0&amp;query=any,contains,991000576249702656","Catalog Record")</f>
        <v/>
      </c>
      <c r="AT188">
        <f>HYPERLINK("http://www.worldcat.org/oclc/11687853","WorldCat Record")</f>
        <v/>
      </c>
      <c r="AU188" t="inlineStr">
        <is>
          <t>4632792:eng</t>
        </is>
      </c>
      <c r="AV188" t="inlineStr">
        <is>
          <t>11687853</t>
        </is>
      </c>
      <c r="AW188" t="inlineStr">
        <is>
          <t>991000576249702656</t>
        </is>
      </c>
      <c r="AX188" t="inlineStr">
        <is>
          <t>991000576249702656</t>
        </is>
      </c>
      <c r="AY188" t="inlineStr">
        <is>
          <t>2260037300002656</t>
        </is>
      </c>
      <c r="AZ188" t="inlineStr">
        <is>
          <t>BOOK</t>
        </is>
      </c>
      <c r="BB188" t="inlineStr">
        <is>
          <t>9780877932789</t>
        </is>
      </c>
      <c r="BC188" t="inlineStr">
        <is>
          <t>32285000099142</t>
        </is>
      </c>
      <c r="BD188" t="inlineStr">
        <is>
          <t>893419591</t>
        </is>
      </c>
    </row>
    <row r="189">
      <c r="A189" t="inlineStr">
        <is>
          <t>No</t>
        </is>
      </c>
      <c r="B189" t="inlineStr">
        <is>
          <t>BV210.2 .G713 1961</t>
        </is>
      </c>
      <c r="C189" t="inlineStr">
        <is>
          <t>0                      BV 0210200G  713         1961</t>
        </is>
      </c>
      <c r="D189" t="inlineStr">
        <is>
          <t>The power of prayer / by Richard Gräf. Translated from the German by John J. Coyne.</t>
        </is>
      </c>
      <c r="F189" t="inlineStr">
        <is>
          <t>No</t>
        </is>
      </c>
      <c r="G189" t="inlineStr">
        <is>
          <t>1</t>
        </is>
      </c>
      <c r="H189" t="inlineStr">
        <is>
          <t>No</t>
        </is>
      </c>
      <c r="I189" t="inlineStr">
        <is>
          <t>No</t>
        </is>
      </c>
      <c r="J189" t="inlineStr">
        <is>
          <t>0</t>
        </is>
      </c>
      <c r="K189" t="inlineStr">
        <is>
          <t>Gräf, Richard, 1899-</t>
        </is>
      </c>
      <c r="L189" t="inlineStr">
        <is>
          <t>Westminster, Md. : Newman Press, 1961.</t>
        </is>
      </c>
      <c r="M189" t="inlineStr">
        <is>
          <t>1961</t>
        </is>
      </c>
      <c r="O189" t="inlineStr">
        <is>
          <t>eng</t>
        </is>
      </c>
      <c r="P189" t="inlineStr">
        <is>
          <t>mdu</t>
        </is>
      </c>
      <c r="R189" t="inlineStr">
        <is>
          <t xml:space="preserve">BV </t>
        </is>
      </c>
      <c r="S189" t="n">
        <v>2</v>
      </c>
      <c r="T189" t="n">
        <v>2</v>
      </c>
      <c r="U189" t="inlineStr">
        <is>
          <t>2000-04-05</t>
        </is>
      </c>
      <c r="V189" t="inlineStr">
        <is>
          <t>2000-04-05</t>
        </is>
      </c>
      <c r="W189" t="inlineStr">
        <is>
          <t>1991-11-25</t>
        </is>
      </c>
      <c r="X189" t="inlineStr">
        <is>
          <t>1991-11-25</t>
        </is>
      </c>
      <c r="Y189" t="n">
        <v>52</v>
      </c>
      <c r="Z189" t="n">
        <v>46</v>
      </c>
      <c r="AA189" t="n">
        <v>51</v>
      </c>
      <c r="AB189" t="n">
        <v>2</v>
      </c>
      <c r="AC189" t="n">
        <v>2</v>
      </c>
      <c r="AD189" t="n">
        <v>8</v>
      </c>
      <c r="AE189" t="n">
        <v>8</v>
      </c>
      <c r="AF189" t="n">
        <v>1</v>
      </c>
      <c r="AG189" t="n">
        <v>1</v>
      </c>
      <c r="AH189" t="n">
        <v>3</v>
      </c>
      <c r="AI189" t="n">
        <v>3</v>
      </c>
      <c r="AJ189" t="n">
        <v>5</v>
      </c>
      <c r="AK189" t="n">
        <v>5</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HYPERLINK("https://creighton-primo.hosted.exlibrisgroup.com/primo-explore/search?tab=default_tab&amp;search_scope=EVERYTHING&amp;vid=01CRU&amp;lang=en_US&amp;offset=0&amp;query=any,contains,991004165459702656","Catalog Record")</f>
        <v/>
      </c>
      <c r="AT189">
        <f>HYPERLINK("http://www.worldcat.org/oclc/2565670","WorldCat Record")</f>
        <v/>
      </c>
      <c r="AU189" t="inlineStr">
        <is>
          <t>2102345957:eng</t>
        </is>
      </c>
      <c r="AV189" t="inlineStr">
        <is>
          <t>2565670</t>
        </is>
      </c>
      <c r="AW189" t="inlineStr">
        <is>
          <t>991004165459702656</t>
        </is>
      </c>
      <c r="AX189" t="inlineStr">
        <is>
          <t>991004165459702656</t>
        </is>
      </c>
      <c r="AY189" t="inlineStr">
        <is>
          <t>2255413990002656</t>
        </is>
      </c>
      <c r="AZ189" t="inlineStr">
        <is>
          <t>BOOK</t>
        </is>
      </c>
      <c r="BC189" t="inlineStr">
        <is>
          <t>32285000836550</t>
        </is>
      </c>
      <c r="BD189" t="inlineStr">
        <is>
          <t>893775708</t>
        </is>
      </c>
    </row>
    <row r="190">
      <c r="A190" t="inlineStr">
        <is>
          <t>No</t>
        </is>
      </c>
      <c r="B190" t="inlineStr">
        <is>
          <t>BV210.2 .H36</t>
        </is>
      </c>
      <c r="C190" t="inlineStr">
        <is>
          <t>0                      BV 0210200H  36</t>
        </is>
      </c>
      <c r="D190" t="inlineStr">
        <is>
          <t>Prayer and meditation : their nature and practice / [by] F. C. Happold.</t>
        </is>
      </c>
      <c r="F190" t="inlineStr">
        <is>
          <t>No</t>
        </is>
      </c>
      <c r="G190" t="inlineStr">
        <is>
          <t>1</t>
        </is>
      </c>
      <c r="H190" t="inlineStr">
        <is>
          <t>No</t>
        </is>
      </c>
      <c r="I190" t="inlineStr">
        <is>
          <t>No</t>
        </is>
      </c>
      <c r="J190" t="inlineStr">
        <is>
          <t>0</t>
        </is>
      </c>
      <c r="K190" t="inlineStr">
        <is>
          <t>Happold, F. Crossfield (Frederick Crossfield), 1893-1971.</t>
        </is>
      </c>
      <c r="L190" t="inlineStr">
        <is>
          <t>Harmondsworth, Penguin, 1971.</t>
        </is>
      </c>
      <c r="M190" t="inlineStr">
        <is>
          <t>1971</t>
        </is>
      </c>
      <c r="O190" t="inlineStr">
        <is>
          <t>eng</t>
        </is>
      </c>
      <c r="P190" t="inlineStr">
        <is>
          <t>enk</t>
        </is>
      </c>
      <c r="Q190" t="inlineStr">
        <is>
          <t>Pelican books ; A1257</t>
        </is>
      </c>
      <c r="R190" t="inlineStr">
        <is>
          <t xml:space="preserve">BV </t>
        </is>
      </c>
      <c r="S190" t="n">
        <v>3</v>
      </c>
      <c r="T190" t="n">
        <v>3</v>
      </c>
      <c r="U190" t="inlineStr">
        <is>
          <t>1995-01-29</t>
        </is>
      </c>
      <c r="V190" t="inlineStr">
        <is>
          <t>1995-01-29</t>
        </is>
      </c>
      <c r="W190" t="inlineStr">
        <is>
          <t>1991-11-25</t>
        </is>
      </c>
      <c r="X190" t="inlineStr">
        <is>
          <t>1991-11-25</t>
        </is>
      </c>
      <c r="Y190" t="n">
        <v>186</v>
      </c>
      <c r="Z190" t="n">
        <v>117</v>
      </c>
      <c r="AA190" t="n">
        <v>120</v>
      </c>
      <c r="AB190" t="n">
        <v>2</v>
      </c>
      <c r="AC190" t="n">
        <v>2</v>
      </c>
      <c r="AD190" t="n">
        <v>14</v>
      </c>
      <c r="AE190" t="n">
        <v>14</v>
      </c>
      <c r="AF190" t="n">
        <v>6</v>
      </c>
      <c r="AG190" t="n">
        <v>6</v>
      </c>
      <c r="AH190" t="n">
        <v>1</v>
      </c>
      <c r="AI190" t="n">
        <v>1</v>
      </c>
      <c r="AJ190" t="n">
        <v>11</v>
      </c>
      <c r="AK190" t="n">
        <v>11</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HYPERLINK("https://creighton-primo.hosted.exlibrisgroup.com/primo-explore/search?tab=default_tab&amp;search_scope=EVERYTHING&amp;vid=01CRU&amp;lang=en_US&amp;offset=0&amp;query=any,contains,991002173459702656","Catalog Record")</f>
        <v/>
      </c>
      <c r="AT190">
        <f>HYPERLINK("http://www.worldcat.org/oclc/277503","WorldCat Record")</f>
        <v/>
      </c>
      <c r="AU190" t="inlineStr">
        <is>
          <t>1416255:eng</t>
        </is>
      </c>
      <c r="AV190" t="inlineStr">
        <is>
          <t>277503</t>
        </is>
      </c>
      <c r="AW190" t="inlineStr">
        <is>
          <t>991002173459702656</t>
        </is>
      </c>
      <c r="AX190" t="inlineStr">
        <is>
          <t>991002173459702656</t>
        </is>
      </c>
      <c r="AY190" t="inlineStr">
        <is>
          <t>2260241280002656</t>
        </is>
      </c>
      <c r="AZ190" t="inlineStr">
        <is>
          <t>BOOK</t>
        </is>
      </c>
      <c r="BB190" t="inlineStr">
        <is>
          <t>9780140212570</t>
        </is>
      </c>
      <c r="BC190" t="inlineStr">
        <is>
          <t>32285000836584</t>
        </is>
      </c>
      <c r="BD190" t="inlineStr">
        <is>
          <t>893421013</t>
        </is>
      </c>
    </row>
    <row r="191">
      <c r="A191" t="inlineStr">
        <is>
          <t>No</t>
        </is>
      </c>
      <c r="B191" t="inlineStr">
        <is>
          <t>BV210.2 .H363 1975</t>
        </is>
      </c>
      <c r="C191" t="inlineStr">
        <is>
          <t>0                      BV 0210200H  363         1975</t>
        </is>
      </c>
      <c r="D191" t="inlineStr">
        <is>
          <t>Prayer : the integration of faith and life / Bernard Häring.</t>
        </is>
      </c>
      <c r="F191" t="inlineStr">
        <is>
          <t>No</t>
        </is>
      </c>
      <c r="G191" t="inlineStr">
        <is>
          <t>1</t>
        </is>
      </c>
      <c r="H191" t="inlineStr">
        <is>
          <t>No</t>
        </is>
      </c>
      <c r="I191" t="inlineStr">
        <is>
          <t>No</t>
        </is>
      </c>
      <c r="J191" t="inlineStr">
        <is>
          <t>0</t>
        </is>
      </c>
      <c r="K191" t="inlineStr">
        <is>
          <t>Häring, Bernhard, 1912-1998.</t>
        </is>
      </c>
      <c r="L191" t="inlineStr">
        <is>
          <t>Notre Dame, Ind. : Fides Publishers, c1975.</t>
        </is>
      </c>
      <c r="M191" t="inlineStr">
        <is>
          <t>1975</t>
        </is>
      </c>
      <c r="O191" t="inlineStr">
        <is>
          <t>eng</t>
        </is>
      </c>
      <c r="P191" t="inlineStr">
        <is>
          <t>inu</t>
        </is>
      </c>
      <c r="R191" t="inlineStr">
        <is>
          <t xml:space="preserve">BV </t>
        </is>
      </c>
      <c r="S191" t="n">
        <v>7</v>
      </c>
      <c r="T191" t="n">
        <v>7</v>
      </c>
      <c r="U191" t="inlineStr">
        <is>
          <t>2000-04-05</t>
        </is>
      </c>
      <c r="V191" t="inlineStr">
        <is>
          <t>2000-04-05</t>
        </is>
      </c>
      <c r="W191" t="inlineStr">
        <is>
          <t>1991-09-03</t>
        </is>
      </c>
      <c r="X191" t="inlineStr">
        <is>
          <t>1991-09-03</t>
        </is>
      </c>
      <c r="Y191" t="n">
        <v>233</v>
      </c>
      <c r="Z191" t="n">
        <v>207</v>
      </c>
      <c r="AA191" t="n">
        <v>229</v>
      </c>
      <c r="AB191" t="n">
        <v>3</v>
      </c>
      <c r="AC191" t="n">
        <v>3</v>
      </c>
      <c r="AD191" t="n">
        <v>22</v>
      </c>
      <c r="AE191" t="n">
        <v>23</v>
      </c>
      <c r="AF191" t="n">
        <v>5</v>
      </c>
      <c r="AG191" t="n">
        <v>6</v>
      </c>
      <c r="AH191" t="n">
        <v>4</v>
      </c>
      <c r="AI191" t="n">
        <v>4</v>
      </c>
      <c r="AJ191" t="n">
        <v>16</v>
      </c>
      <c r="AK191" t="n">
        <v>17</v>
      </c>
      <c r="AL191" t="n">
        <v>1</v>
      </c>
      <c r="AM191" t="n">
        <v>1</v>
      </c>
      <c r="AN191" t="n">
        <v>0</v>
      </c>
      <c r="AO191" t="n">
        <v>0</v>
      </c>
      <c r="AP191" t="inlineStr">
        <is>
          <t>No</t>
        </is>
      </c>
      <c r="AQ191" t="inlineStr">
        <is>
          <t>Yes</t>
        </is>
      </c>
      <c r="AR191">
        <f>HYPERLINK("http://catalog.hathitrust.org/Record/009801661","HathiTrust Record")</f>
        <v/>
      </c>
      <c r="AS191">
        <f>HYPERLINK("https://creighton-primo.hosted.exlibrisgroup.com/primo-explore/search?tab=default_tab&amp;search_scope=EVERYTHING&amp;vid=01CRU&amp;lang=en_US&amp;offset=0&amp;query=any,contains,991003962879702656","Catalog Record")</f>
        <v/>
      </c>
      <c r="AT191">
        <f>HYPERLINK("http://www.worldcat.org/oclc/1976206","WorldCat Record")</f>
        <v/>
      </c>
      <c r="AU191" t="inlineStr">
        <is>
          <t>836655575:eng</t>
        </is>
      </c>
      <c r="AV191" t="inlineStr">
        <is>
          <t>1976206</t>
        </is>
      </c>
      <c r="AW191" t="inlineStr">
        <is>
          <t>991003962879702656</t>
        </is>
      </c>
      <c r="AX191" t="inlineStr">
        <is>
          <t>991003962879702656</t>
        </is>
      </c>
      <c r="AY191" t="inlineStr">
        <is>
          <t>2266624250002656</t>
        </is>
      </c>
      <c r="AZ191" t="inlineStr">
        <is>
          <t>BOOK</t>
        </is>
      </c>
      <c r="BB191" t="inlineStr">
        <is>
          <t>9780819006097</t>
        </is>
      </c>
      <c r="BC191" t="inlineStr">
        <is>
          <t>32285000734656</t>
        </is>
      </c>
      <c r="BD191" t="inlineStr">
        <is>
          <t>893331043</t>
        </is>
      </c>
    </row>
    <row r="192">
      <c r="A192" t="inlineStr">
        <is>
          <t>No</t>
        </is>
      </c>
      <c r="B192" t="inlineStr">
        <is>
          <t>BV210.2 .H367 1983</t>
        </is>
      </c>
      <c r="C192" t="inlineStr">
        <is>
          <t>0                      BV 0210200H  367         1983</t>
        </is>
      </c>
      <c r="D192" t="inlineStr">
        <is>
          <t>Radical prayer : creating a welcome for God, ourselves, other people and the world / David J. Hassel.</t>
        </is>
      </c>
      <c r="F192" t="inlineStr">
        <is>
          <t>No</t>
        </is>
      </c>
      <c r="G192" t="inlineStr">
        <is>
          <t>1</t>
        </is>
      </c>
      <c r="H192" t="inlineStr">
        <is>
          <t>No</t>
        </is>
      </c>
      <c r="I192" t="inlineStr">
        <is>
          <t>Yes</t>
        </is>
      </c>
      <c r="J192" t="inlineStr">
        <is>
          <t>0</t>
        </is>
      </c>
      <c r="K192" t="inlineStr">
        <is>
          <t>Hassel, David J.</t>
        </is>
      </c>
      <c r="L192" t="inlineStr">
        <is>
          <t>New York : Paulist Press, c1983.</t>
        </is>
      </c>
      <c r="M192" t="inlineStr">
        <is>
          <t>1983</t>
        </is>
      </c>
      <c r="O192" t="inlineStr">
        <is>
          <t>eng</t>
        </is>
      </c>
      <c r="P192" t="inlineStr">
        <is>
          <t>nyu</t>
        </is>
      </c>
      <c r="R192" t="inlineStr">
        <is>
          <t xml:space="preserve">BV </t>
        </is>
      </c>
      <c r="S192" t="n">
        <v>6</v>
      </c>
      <c r="T192" t="n">
        <v>6</v>
      </c>
      <c r="U192" t="inlineStr">
        <is>
          <t>1999-06-27</t>
        </is>
      </c>
      <c r="V192" t="inlineStr">
        <is>
          <t>1999-06-27</t>
        </is>
      </c>
      <c r="W192" t="inlineStr">
        <is>
          <t>1990-07-11</t>
        </is>
      </c>
      <c r="X192" t="inlineStr">
        <is>
          <t>1990-07-11</t>
        </is>
      </c>
      <c r="Y192" t="n">
        <v>158</v>
      </c>
      <c r="Z192" t="n">
        <v>140</v>
      </c>
      <c r="AA192" t="n">
        <v>180</v>
      </c>
      <c r="AB192" t="n">
        <v>2</v>
      </c>
      <c r="AC192" t="n">
        <v>2</v>
      </c>
      <c r="AD192" t="n">
        <v>15</v>
      </c>
      <c r="AE192" t="n">
        <v>21</v>
      </c>
      <c r="AF192" t="n">
        <v>4</v>
      </c>
      <c r="AG192" t="n">
        <v>5</v>
      </c>
      <c r="AH192" t="n">
        <v>1</v>
      </c>
      <c r="AI192" t="n">
        <v>4</v>
      </c>
      <c r="AJ192" t="n">
        <v>14</v>
      </c>
      <c r="AK192" t="n">
        <v>19</v>
      </c>
      <c r="AL192" t="n">
        <v>0</v>
      </c>
      <c r="AM192" t="n">
        <v>0</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HYPERLINK("https://creighton-primo.hosted.exlibrisgroup.com/primo-explore/search?tab=default_tab&amp;search_scope=EVERYTHING&amp;vid=01CRU&amp;lang=en_US&amp;offset=0&amp;query=any,contains,991000169209702656","Catalog Record")</f>
        <v/>
      </c>
      <c r="AT192">
        <f>HYPERLINK("http://www.worldcat.org/oclc/9320589","WorldCat Record")</f>
        <v/>
      </c>
      <c r="AU192" t="inlineStr">
        <is>
          <t>4331906:eng</t>
        </is>
      </c>
      <c r="AV192" t="inlineStr">
        <is>
          <t>9320589</t>
        </is>
      </c>
      <c r="AW192" t="inlineStr">
        <is>
          <t>991000169209702656</t>
        </is>
      </c>
      <c r="AX192" t="inlineStr">
        <is>
          <t>991000169209702656</t>
        </is>
      </c>
      <c r="AY192" t="inlineStr">
        <is>
          <t>2259239960002656</t>
        </is>
      </c>
      <c r="AZ192" t="inlineStr">
        <is>
          <t>BOOK</t>
        </is>
      </c>
      <c r="BB192" t="inlineStr">
        <is>
          <t>9780809103409</t>
        </is>
      </c>
      <c r="BC192" t="inlineStr">
        <is>
          <t>32285000224161</t>
        </is>
      </c>
      <c r="BD192" t="inlineStr">
        <is>
          <t>893871477</t>
        </is>
      </c>
    </row>
    <row r="193">
      <c r="A193" t="inlineStr">
        <is>
          <t>No</t>
        </is>
      </c>
      <c r="B193" t="inlineStr">
        <is>
          <t>BV210.2 .H37 1982</t>
        </is>
      </c>
      <c r="C193" t="inlineStr">
        <is>
          <t>0                      BV 0210200H  37          1982</t>
        </is>
      </c>
      <c r="D193" t="inlineStr">
        <is>
          <t>The prodigal father : approaching the God of love / by Wilfrid Harrington.</t>
        </is>
      </c>
      <c r="F193" t="inlineStr">
        <is>
          <t>No</t>
        </is>
      </c>
      <c r="G193" t="inlineStr">
        <is>
          <t>1</t>
        </is>
      </c>
      <c r="H193" t="inlineStr">
        <is>
          <t>No</t>
        </is>
      </c>
      <c r="I193" t="inlineStr">
        <is>
          <t>No</t>
        </is>
      </c>
      <c r="J193" t="inlineStr">
        <is>
          <t>0</t>
        </is>
      </c>
      <c r="K193" t="inlineStr">
        <is>
          <t>Harrington, Wilfrid J.</t>
        </is>
      </c>
      <c r="L193" t="inlineStr">
        <is>
          <t>Wilmington, Del. : Michael Glazier, 1982.</t>
        </is>
      </c>
      <c r="M193" t="inlineStr">
        <is>
          <t>1982</t>
        </is>
      </c>
      <c r="O193" t="inlineStr">
        <is>
          <t>eng</t>
        </is>
      </c>
      <c r="P193" t="inlineStr">
        <is>
          <t>deu</t>
        </is>
      </c>
      <c r="Q193" t="inlineStr">
        <is>
          <t>Ways of prayer series ; v. 2</t>
        </is>
      </c>
      <c r="R193" t="inlineStr">
        <is>
          <t xml:space="preserve">BV </t>
        </is>
      </c>
      <c r="S193" t="n">
        <v>1</v>
      </c>
      <c r="T193" t="n">
        <v>1</v>
      </c>
      <c r="U193" t="inlineStr">
        <is>
          <t>1992-06-09</t>
        </is>
      </c>
      <c r="V193" t="inlineStr">
        <is>
          <t>1992-06-09</t>
        </is>
      </c>
      <c r="W193" t="inlineStr">
        <is>
          <t>1991-11-25</t>
        </is>
      </c>
      <c r="X193" t="inlineStr">
        <is>
          <t>1991-11-25</t>
        </is>
      </c>
      <c r="Y193" t="n">
        <v>106</v>
      </c>
      <c r="Z193" t="n">
        <v>90</v>
      </c>
      <c r="AA193" t="n">
        <v>90</v>
      </c>
      <c r="AB193" t="n">
        <v>2</v>
      </c>
      <c r="AC193" t="n">
        <v>2</v>
      </c>
      <c r="AD193" t="n">
        <v>14</v>
      </c>
      <c r="AE193" t="n">
        <v>14</v>
      </c>
      <c r="AF193" t="n">
        <v>5</v>
      </c>
      <c r="AG193" t="n">
        <v>5</v>
      </c>
      <c r="AH193" t="n">
        <v>4</v>
      </c>
      <c r="AI193" t="n">
        <v>4</v>
      </c>
      <c r="AJ193" t="n">
        <v>11</v>
      </c>
      <c r="AK193" t="n">
        <v>11</v>
      </c>
      <c r="AL193" t="n">
        <v>0</v>
      </c>
      <c r="AM193" t="n">
        <v>0</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HYPERLINK("https://creighton-primo.hosted.exlibrisgroup.com/primo-explore/search?tab=default_tab&amp;search_scope=EVERYTHING&amp;vid=01CRU&amp;lang=en_US&amp;offset=0&amp;query=any,contains,991000178279702656","Catalog Record")</f>
        <v/>
      </c>
      <c r="AT193">
        <f>HYPERLINK("http://www.worldcat.org/oclc/9369574","WorldCat Record")</f>
        <v/>
      </c>
      <c r="AU193" t="inlineStr">
        <is>
          <t>42791226:eng</t>
        </is>
      </c>
      <c r="AV193" t="inlineStr">
        <is>
          <t>9369574</t>
        </is>
      </c>
      <c r="AW193" t="inlineStr">
        <is>
          <t>991000178279702656</t>
        </is>
      </c>
      <c r="AX193" t="inlineStr">
        <is>
          <t>991000178279702656</t>
        </is>
      </c>
      <c r="AY193" t="inlineStr">
        <is>
          <t>2258984750002656</t>
        </is>
      </c>
      <c r="AZ193" t="inlineStr">
        <is>
          <t>BOOK</t>
        </is>
      </c>
      <c r="BB193" t="inlineStr">
        <is>
          <t>9780894532801</t>
        </is>
      </c>
      <c r="BC193" t="inlineStr">
        <is>
          <t>32285000836600</t>
        </is>
      </c>
      <c r="BD193" t="inlineStr">
        <is>
          <t>893407000</t>
        </is>
      </c>
    </row>
    <row r="194">
      <c r="A194" t="inlineStr">
        <is>
          <t>No</t>
        </is>
      </c>
      <c r="B194" t="inlineStr">
        <is>
          <t>BV210.2 .H53 1971</t>
        </is>
      </c>
      <c r="C194" t="inlineStr">
        <is>
          <t>0                      BV 0210200H  53          1971</t>
        </is>
      </c>
      <c r="D194" t="inlineStr">
        <is>
          <t>Merton's theology of prayer / John J. Higgins.</t>
        </is>
      </c>
      <c r="F194" t="inlineStr">
        <is>
          <t>No</t>
        </is>
      </c>
      <c r="G194" t="inlineStr">
        <is>
          <t>1</t>
        </is>
      </c>
      <c r="H194" t="inlineStr">
        <is>
          <t>No</t>
        </is>
      </c>
      <c r="I194" t="inlineStr">
        <is>
          <t>No</t>
        </is>
      </c>
      <c r="J194" t="inlineStr">
        <is>
          <t>0</t>
        </is>
      </c>
      <c r="K194" t="inlineStr">
        <is>
          <t>Higgins, John J.</t>
        </is>
      </c>
      <c r="L194" t="inlineStr">
        <is>
          <t>Spencer, Mass. : Cistercian Publications, 1971.</t>
        </is>
      </c>
      <c r="M194" t="inlineStr">
        <is>
          <t>1971</t>
        </is>
      </c>
      <c r="O194" t="inlineStr">
        <is>
          <t>eng</t>
        </is>
      </c>
      <c r="P194" t="inlineStr">
        <is>
          <t>mau</t>
        </is>
      </c>
      <c r="Q194" t="inlineStr">
        <is>
          <t>Cistercian studies series, no. 18</t>
        </is>
      </c>
      <c r="R194" t="inlineStr">
        <is>
          <t xml:space="preserve">BV </t>
        </is>
      </c>
      <c r="S194" t="n">
        <v>1</v>
      </c>
      <c r="T194" t="n">
        <v>1</v>
      </c>
      <c r="U194" t="inlineStr">
        <is>
          <t>2009-07-13</t>
        </is>
      </c>
      <c r="V194" t="inlineStr">
        <is>
          <t>2009-07-13</t>
        </is>
      </c>
      <c r="W194" t="inlineStr">
        <is>
          <t>2009-07-13</t>
        </is>
      </c>
      <c r="X194" t="inlineStr">
        <is>
          <t>2009-07-13</t>
        </is>
      </c>
      <c r="Y194" t="n">
        <v>217</v>
      </c>
      <c r="Z194" t="n">
        <v>187</v>
      </c>
      <c r="AA194" t="n">
        <v>194</v>
      </c>
      <c r="AB194" t="n">
        <v>3</v>
      </c>
      <c r="AC194" t="n">
        <v>3</v>
      </c>
      <c r="AD194" t="n">
        <v>22</v>
      </c>
      <c r="AE194" t="n">
        <v>22</v>
      </c>
      <c r="AF194" t="n">
        <v>8</v>
      </c>
      <c r="AG194" t="n">
        <v>8</v>
      </c>
      <c r="AH194" t="n">
        <v>3</v>
      </c>
      <c r="AI194" t="n">
        <v>3</v>
      </c>
      <c r="AJ194" t="n">
        <v>17</v>
      </c>
      <c r="AK194" t="n">
        <v>17</v>
      </c>
      <c r="AL194" t="n">
        <v>1</v>
      </c>
      <c r="AM194" t="n">
        <v>1</v>
      </c>
      <c r="AN194" t="n">
        <v>0</v>
      </c>
      <c r="AO194" t="n">
        <v>0</v>
      </c>
      <c r="AP194" t="inlineStr">
        <is>
          <t>No</t>
        </is>
      </c>
      <c r="AQ194" t="inlineStr">
        <is>
          <t>Yes</t>
        </is>
      </c>
      <c r="AR194">
        <f>HYPERLINK("http://catalog.hathitrust.org/Record/001927290","HathiTrust Record")</f>
        <v/>
      </c>
      <c r="AS194">
        <f>HYPERLINK("https://creighton-primo.hosted.exlibrisgroup.com/primo-explore/search?tab=default_tab&amp;search_scope=EVERYTHING&amp;vid=01CRU&amp;lang=en_US&amp;offset=0&amp;query=any,contains,991005325789702656","Catalog Record")</f>
        <v/>
      </c>
      <c r="AT194">
        <f>HYPERLINK("http://www.worldcat.org/oclc/476476","WorldCat Record")</f>
        <v/>
      </c>
      <c r="AU194" t="inlineStr">
        <is>
          <t>453406:eng</t>
        </is>
      </c>
      <c r="AV194" t="inlineStr">
        <is>
          <t>476476</t>
        </is>
      </c>
      <c r="AW194" t="inlineStr">
        <is>
          <t>991005325789702656</t>
        </is>
      </c>
      <c r="AX194" t="inlineStr">
        <is>
          <t>991005325789702656</t>
        </is>
      </c>
      <c r="AY194" t="inlineStr">
        <is>
          <t>2262249750002656</t>
        </is>
      </c>
      <c r="AZ194" t="inlineStr">
        <is>
          <t>BOOK</t>
        </is>
      </c>
      <c r="BB194" t="inlineStr">
        <is>
          <t>9780879078188</t>
        </is>
      </c>
      <c r="BC194" t="inlineStr">
        <is>
          <t>32285005537518</t>
        </is>
      </c>
      <c r="BD194" t="inlineStr">
        <is>
          <t>893443765</t>
        </is>
      </c>
    </row>
    <row r="195">
      <c r="A195" t="inlineStr">
        <is>
          <t>No</t>
        </is>
      </c>
      <c r="B195" t="inlineStr">
        <is>
          <t>BV210.2 .L3813 1975</t>
        </is>
      </c>
      <c r="C195" t="inlineStr">
        <is>
          <t>0                      BV 0210200L  3813        1975</t>
        </is>
      </c>
      <c r="D195" t="inlineStr">
        <is>
          <t>Simplicity, the heart of prayer / Georges Lefebvre ; translated by Dinah Livingstone ; foreword by Simon Tugwell.</t>
        </is>
      </c>
      <c r="F195" t="inlineStr">
        <is>
          <t>No</t>
        </is>
      </c>
      <c r="G195" t="inlineStr">
        <is>
          <t>1</t>
        </is>
      </c>
      <c r="H195" t="inlineStr">
        <is>
          <t>No</t>
        </is>
      </c>
      <c r="I195" t="inlineStr">
        <is>
          <t>No</t>
        </is>
      </c>
      <c r="J195" t="inlineStr">
        <is>
          <t>0</t>
        </is>
      </c>
      <c r="K195" t="inlineStr">
        <is>
          <t>Lefebvre, Georges, 1908-</t>
        </is>
      </c>
      <c r="L195" t="inlineStr">
        <is>
          <t>New York : Paulist Press, [1975]</t>
        </is>
      </c>
      <c r="M195" t="inlineStr">
        <is>
          <t>1975</t>
        </is>
      </c>
      <c r="O195" t="inlineStr">
        <is>
          <t>eng</t>
        </is>
      </c>
      <c r="P195" t="inlineStr">
        <is>
          <t>nyu</t>
        </is>
      </c>
      <c r="R195" t="inlineStr">
        <is>
          <t xml:space="preserve">BV </t>
        </is>
      </c>
      <c r="S195" t="n">
        <v>4</v>
      </c>
      <c r="T195" t="n">
        <v>4</v>
      </c>
      <c r="U195" t="inlineStr">
        <is>
          <t>1999-01-14</t>
        </is>
      </c>
      <c r="V195" t="inlineStr">
        <is>
          <t>1999-01-14</t>
        </is>
      </c>
      <c r="W195" t="inlineStr">
        <is>
          <t>1990-07-30</t>
        </is>
      </c>
      <c r="X195" t="inlineStr">
        <is>
          <t>1990-07-30</t>
        </is>
      </c>
      <c r="Y195" t="n">
        <v>94</v>
      </c>
      <c r="Z195" t="n">
        <v>89</v>
      </c>
      <c r="AA195" t="n">
        <v>92</v>
      </c>
      <c r="AB195" t="n">
        <v>1</v>
      </c>
      <c r="AC195" t="n">
        <v>1</v>
      </c>
      <c r="AD195" t="n">
        <v>13</v>
      </c>
      <c r="AE195" t="n">
        <v>13</v>
      </c>
      <c r="AF195" t="n">
        <v>4</v>
      </c>
      <c r="AG195" t="n">
        <v>4</v>
      </c>
      <c r="AH195" t="n">
        <v>3</v>
      </c>
      <c r="AI195" t="n">
        <v>3</v>
      </c>
      <c r="AJ195" t="n">
        <v>11</v>
      </c>
      <c r="AK195" t="n">
        <v>11</v>
      </c>
      <c r="AL195" t="n">
        <v>0</v>
      </c>
      <c r="AM195" t="n">
        <v>0</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HYPERLINK("https://creighton-primo.hosted.exlibrisgroup.com/primo-explore/search?tab=default_tab&amp;search_scope=EVERYTHING&amp;vid=01CRU&amp;lang=en_US&amp;offset=0&amp;query=any,contains,991003788739702656","Catalog Record")</f>
        <v/>
      </c>
      <c r="AT195">
        <f>HYPERLINK("http://www.worldcat.org/oclc/1505374","WorldCat Record")</f>
        <v/>
      </c>
      <c r="AU195" t="inlineStr">
        <is>
          <t>2260974866:eng</t>
        </is>
      </c>
      <c r="AV195" t="inlineStr">
        <is>
          <t>1505374</t>
        </is>
      </c>
      <c r="AW195" t="inlineStr">
        <is>
          <t>991003788739702656</t>
        </is>
      </c>
      <c r="AX195" t="inlineStr">
        <is>
          <t>991003788739702656</t>
        </is>
      </c>
      <c r="AY195" t="inlineStr">
        <is>
          <t>2255225530002656</t>
        </is>
      </c>
      <c r="AZ195" t="inlineStr">
        <is>
          <t>BOOK</t>
        </is>
      </c>
      <c r="BB195" t="inlineStr">
        <is>
          <t>9780809118816</t>
        </is>
      </c>
      <c r="BC195" t="inlineStr">
        <is>
          <t>32285000228972</t>
        </is>
      </c>
      <c r="BD195" t="inlineStr">
        <is>
          <t>893258865</t>
        </is>
      </c>
    </row>
    <row r="196">
      <c r="A196" t="inlineStr">
        <is>
          <t>No</t>
        </is>
      </c>
      <c r="B196" t="inlineStr">
        <is>
          <t>BV210.2 .L413 1959</t>
        </is>
      </c>
      <c r="C196" t="inlineStr">
        <is>
          <t>0                      BV 0210200L  413         1959</t>
        </is>
      </c>
      <c r="D196" t="inlineStr">
        <is>
          <t>The art of prayer / Martial Lekeux. Translated by Paul Joseph Oligny.</t>
        </is>
      </c>
      <c r="F196" t="inlineStr">
        <is>
          <t>No</t>
        </is>
      </c>
      <c r="G196" t="inlineStr">
        <is>
          <t>1</t>
        </is>
      </c>
      <c r="H196" t="inlineStr">
        <is>
          <t>No</t>
        </is>
      </c>
      <c r="I196" t="inlineStr">
        <is>
          <t>No</t>
        </is>
      </c>
      <c r="J196" t="inlineStr">
        <is>
          <t>0</t>
        </is>
      </c>
      <c r="K196" t="inlineStr">
        <is>
          <t>Lekeux, Martial, 1884-</t>
        </is>
      </c>
      <c r="L196" t="inlineStr">
        <is>
          <t>Chicago : Franciscan Herald Press, [1959]</t>
        </is>
      </c>
      <c r="M196" t="inlineStr">
        <is>
          <t>1959</t>
        </is>
      </c>
      <c r="O196" t="inlineStr">
        <is>
          <t>eng</t>
        </is>
      </c>
      <c r="P196" t="inlineStr">
        <is>
          <t>ilu</t>
        </is>
      </c>
      <c r="R196" t="inlineStr">
        <is>
          <t xml:space="preserve">BV </t>
        </is>
      </c>
      <c r="S196" t="n">
        <v>3</v>
      </c>
      <c r="T196" t="n">
        <v>3</v>
      </c>
      <c r="U196" t="inlineStr">
        <is>
          <t>1996-11-20</t>
        </is>
      </c>
      <c r="V196" t="inlineStr">
        <is>
          <t>1996-11-20</t>
        </is>
      </c>
      <c r="W196" t="inlineStr">
        <is>
          <t>1991-11-25</t>
        </is>
      </c>
      <c r="X196" t="inlineStr">
        <is>
          <t>1991-11-25</t>
        </is>
      </c>
      <c r="Y196" t="n">
        <v>89</v>
      </c>
      <c r="Z196" t="n">
        <v>78</v>
      </c>
      <c r="AA196" t="n">
        <v>79</v>
      </c>
      <c r="AB196" t="n">
        <v>3</v>
      </c>
      <c r="AC196" t="n">
        <v>3</v>
      </c>
      <c r="AD196" t="n">
        <v>11</v>
      </c>
      <c r="AE196" t="n">
        <v>11</v>
      </c>
      <c r="AF196" t="n">
        <v>1</v>
      </c>
      <c r="AG196" t="n">
        <v>1</v>
      </c>
      <c r="AH196" t="n">
        <v>2</v>
      </c>
      <c r="AI196" t="n">
        <v>2</v>
      </c>
      <c r="AJ196" t="n">
        <v>9</v>
      </c>
      <c r="AK196" t="n">
        <v>9</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HYPERLINK("https://creighton-primo.hosted.exlibrisgroup.com/primo-explore/search?tab=default_tab&amp;search_scope=EVERYTHING&amp;vid=01CRU&amp;lang=en_US&amp;offset=0&amp;query=any,contains,991003862289702656","Catalog Record")</f>
        <v/>
      </c>
      <c r="AT196">
        <f>HYPERLINK("http://www.worldcat.org/oclc/1669238","WorldCat Record")</f>
        <v/>
      </c>
      <c r="AU196" t="inlineStr">
        <is>
          <t>366237282:eng</t>
        </is>
      </c>
      <c r="AV196" t="inlineStr">
        <is>
          <t>1669238</t>
        </is>
      </c>
      <c r="AW196" t="inlineStr">
        <is>
          <t>991003862289702656</t>
        </is>
      </c>
      <c r="AX196" t="inlineStr">
        <is>
          <t>991003862289702656</t>
        </is>
      </c>
      <c r="AY196" t="inlineStr">
        <is>
          <t>2271523040002656</t>
        </is>
      </c>
      <c r="AZ196" t="inlineStr">
        <is>
          <t>BOOK</t>
        </is>
      </c>
      <c r="BC196" t="inlineStr">
        <is>
          <t>32285000836683</t>
        </is>
      </c>
      <c r="BD196" t="inlineStr">
        <is>
          <t>893535669</t>
        </is>
      </c>
    </row>
    <row r="197">
      <c r="A197" t="inlineStr">
        <is>
          <t>No</t>
        </is>
      </c>
      <c r="B197" t="inlineStr">
        <is>
          <t>BV210.2 .L55 1987</t>
        </is>
      </c>
      <c r="C197" t="inlineStr">
        <is>
          <t>0                      BV 0210200L  55          1987</t>
        </is>
      </c>
      <c r="D197" t="inlineStr">
        <is>
          <t>Praying home : the contemplative journey / Robert Llewelyn, Kallistos Ware, Mary Clare.</t>
        </is>
      </c>
      <c r="F197" t="inlineStr">
        <is>
          <t>No</t>
        </is>
      </c>
      <c r="G197" t="inlineStr">
        <is>
          <t>1</t>
        </is>
      </c>
      <c r="H197" t="inlineStr">
        <is>
          <t>No</t>
        </is>
      </c>
      <c r="I197" t="inlineStr">
        <is>
          <t>No</t>
        </is>
      </c>
      <c r="J197" t="inlineStr">
        <is>
          <t>0</t>
        </is>
      </c>
      <c r="K197" t="inlineStr">
        <is>
          <t>Llewelyn, Robert, 1909-2008.</t>
        </is>
      </c>
      <c r="L197" t="inlineStr">
        <is>
          <t>Cambridge, Mass. : Cowley Publications, 1987.</t>
        </is>
      </c>
      <c r="M197" t="inlineStr">
        <is>
          <t>1987</t>
        </is>
      </c>
      <c r="O197" t="inlineStr">
        <is>
          <t>eng</t>
        </is>
      </c>
      <c r="P197" t="inlineStr">
        <is>
          <t>mau</t>
        </is>
      </c>
      <c r="R197" t="inlineStr">
        <is>
          <t xml:space="preserve">BV </t>
        </is>
      </c>
      <c r="S197" t="n">
        <v>1</v>
      </c>
      <c r="T197" t="n">
        <v>1</v>
      </c>
      <c r="U197" t="inlineStr">
        <is>
          <t>1999-07-10</t>
        </is>
      </c>
      <c r="V197" t="inlineStr">
        <is>
          <t>1999-07-10</t>
        </is>
      </c>
      <c r="W197" t="inlineStr">
        <is>
          <t>1991-11-25</t>
        </is>
      </c>
      <c r="X197" t="inlineStr">
        <is>
          <t>1991-11-25</t>
        </is>
      </c>
      <c r="Y197" t="n">
        <v>63</v>
      </c>
      <c r="Z197" t="n">
        <v>60</v>
      </c>
      <c r="AA197" t="n">
        <v>60</v>
      </c>
      <c r="AB197" t="n">
        <v>1</v>
      </c>
      <c r="AC197" t="n">
        <v>1</v>
      </c>
      <c r="AD197" t="n">
        <v>6</v>
      </c>
      <c r="AE197" t="n">
        <v>6</v>
      </c>
      <c r="AF197" t="n">
        <v>1</v>
      </c>
      <c r="AG197" t="n">
        <v>1</v>
      </c>
      <c r="AH197" t="n">
        <v>1</v>
      </c>
      <c r="AI197" t="n">
        <v>1</v>
      </c>
      <c r="AJ197" t="n">
        <v>4</v>
      </c>
      <c r="AK197" t="n">
        <v>4</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HYPERLINK("https://creighton-primo.hosted.exlibrisgroup.com/primo-explore/search?tab=default_tab&amp;search_scope=EVERYTHING&amp;vid=01CRU&amp;lang=en_US&amp;offset=0&amp;query=any,contains,991001106309702656","Catalog Record")</f>
        <v/>
      </c>
      <c r="AT197">
        <f>HYPERLINK("http://www.worldcat.org/oclc/16405520","WorldCat Record")</f>
        <v/>
      </c>
      <c r="AU197" t="inlineStr">
        <is>
          <t>11962720:eng</t>
        </is>
      </c>
      <c r="AV197" t="inlineStr">
        <is>
          <t>16405520</t>
        </is>
      </c>
      <c r="AW197" t="inlineStr">
        <is>
          <t>991001106309702656</t>
        </is>
      </c>
      <c r="AX197" t="inlineStr">
        <is>
          <t>991001106309702656</t>
        </is>
      </c>
      <c r="AY197" t="inlineStr">
        <is>
          <t>2263545550002656</t>
        </is>
      </c>
      <c r="AZ197" t="inlineStr">
        <is>
          <t>BOOK</t>
        </is>
      </c>
      <c r="BB197" t="inlineStr">
        <is>
          <t>9780936384528</t>
        </is>
      </c>
      <c r="BC197" t="inlineStr">
        <is>
          <t>32285000836691</t>
        </is>
      </c>
      <c r="BD197" t="inlineStr">
        <is>
          <t>893791175</t>
        </is>
      </c>
    </row>
    <row r="198">
      <c r="A198" t="inlineStr">
        <is>
          <t>No</t>
        </is>
      </c>
      <c r="B198" t="inlineStr">
        <is>
          <t>BV210.2 .L6313 1975b</t>
        </is>
      </c>
      <c r="C198" t="inlineStr">
        <is>
          <t>0                      BV 0210200L  6313        1975b</t>
        </is>
      </c>
      <c r="D198" t="inlineStr">
        <is>
          <t>Teach us to pray : learning a little about God / André Louf ; translated by Hubert Hoskins.</t>
        </is>
      </c>
      <c r="F198" t="inlineStr">
        <is>
          <t>No</t>
        </is>
      </c>
      <c r="G198" t="inlineStr">
        <is>
          <t>1</t>
        </is>
      </c>
      <c r="H198" t="inlineStr">
        <is>
          <t>No</t>
        </is>
      </c>
      <c r="I198" t="inlineStr">
        <is>
          <t>No</t>
        </is>
      </c>
      <c r="J198" t="inlineStr">
        <is>
          <t>0</t>
        </is>
      </c>
      <c r="K198" t="inlineStr">
        <is>
          <t>Louf, André.</t>
        </is>
      </c>
      <c r="L198" t="inlineStr">
        <is>
          <t>New York : Paulist Press, c1975.</t>
        </is>
      </c>
      <c r="M198" t="inlineStr">
        <is>
          <t>1975</t>
        </is>
      </c>
      <c r="N198" t="inlineStr">
        <is>
          <t>U.S. ed.</t>
        </is>
      </c>
      <c r="O198" t="inlineStr">
        <is>
          <t>eng</t>
        </is>
      </c>
      <c r="P198" t="inlineStr">
        <is>
          <t>nyu</t>
        </is>
      </c>
      <c r="Q198" t="inlineStr">
        <is>
          <t>A Deus book</t>
        </is>
      </c>
      <c r="R198" t="inlineStr">
        <is>
          <t xml:space="preserve">BV </t>
        </is>
      </c>
      <c r="S198" t="n">
        <v>3</v>
      </c>
      <c r="T198" t="n">
        <v>3</v>
      </c>
      <c r="U198" t="inlineStr">
        <is>
          <t>1999-07-12</t>
        </is>
      </c>
      <c r="V198" t="inlineStr">
        <is>
          <t>1999-07-12</t>
        </is>
      </c>
      <c r="W198" t="inlineStr">
        <is>
          <t>1991-11-25</t>
        </is>
      </c>
      <c r="X198" t="inlineStr">
        <is>
          <t>1991-11-25</t>
        </is>
      </c>
      <c r="Y198" t="n">
        <v>37</v>
      </c>
      <c r="Z198" t="n">
        <v>34</v>
      </c>
      <c r="AA198" t="n">
        <v>95</v>
      </c>
      <c r="AB198" t="n">
        <v>1</v>
      </c>
      <c r="AC198" t="n">
        <v>2</v>
      </c>
      <c r="AD198" t="n">
        <v>3</v>
      </c>
      <c r="AE198" t="n">
        <v>9</v>
      </c>
      <c r="AF198" t="n">
        <v>0</v>
      </c>
      <c r="AG198" t="n">
        <v>1</v>
      </c>
      <c r="AH198" t="n">
        <v>1</v>
      </c>
      <c r="AI198" t="n">
        <v>2</v>
      </c>
      <c r="AJ198" t="n">
        <v>2</v>
      </c>
      <c r="AK198" t="n">
        <v>7</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HYPERLINK("https://creighton-primo.hosted.exlibrisgroup.com/primo-explore/search?tab=default_tab&amp;search_scope=EVERYTHING&amp;vid=01CRU&amp;lang=en_US&amp;offset=0&amp;query=any,contains,991004308189702656","Catalog Record")</f>
        <v/>
      </c>
      <c r="AT198">
        <f>HYPERLINK("http://www.worldcat.org/oclc/2985248","WorldCat Record")</f>
        <v/>
      </c>
      <c r="AU198" t="inlineStr">
        <is>
          <t>3855864416:eng</t>
        </is>
      </c>
      <c r="AV198" t="inlineStr">
        <is>
          <t>2985248</t>
        </is>
      </c>
      <c r="AW198" t="inlineStr">
        <is>
          <t>991004308189702656</t>
        </is>
      </c>
      <c r="AX198" t="inlineStr">
        <is>
          <t>991004308189702656</t>
        </is>
      </c>
      <c r="AY198" t="inlineStr">
        <is>
          <t>2262050810002656</t>
        </is>
      </c>
      <c r="AZ198" t="inlineStr">
        <is>
          <t>BOOK</t>
        </is>
      </c>
      <c r="BB198" t="inlineStr">
        <is>
          <t>9780809120017</t>
        </is>
      </c>
      <c r="BC198" t="inlineStr">
        <is>
          <t>32285000836709</t>
        </is>
      </c>
      <c r="BD198" t="inlineStr">
        <is>
          <t>893535907</t>
        </is>
      </c>
    </row>
    <row r="199">
      <c r="A199" t="inlineStr">
        <is>
          <t>No</t>
        </is>
      </c>
      <c r="B199" t="inlineStr">
        <is>
          <t>BV210.2 .L69 1989</t>
        </is>
      </c>
      <c r="C199" t="inlineStr">
        <is>
          <t>0                      BV 0210200L  69          1989</t>
        </is>
      </c>
      <c r="D199" t="inlineStr">
        <is>
          <t>Praying even when the door seems closed : the nature and stages of prayer / John Manuel Lozano.</t>
        </is>
      </c>
      <c r="F199" t="inlineStr">
        <is>
          <t>No</t>
        </is>
      </c>
      <c r="G199" t="inlineStr">
        <is>
          <t>1</t>
        </is>
      </c>
      <c r="H199" t="inlineStr">
        <is>
          <t>No</t>
        </is>
      </c>
      <c r="I199" t="inlineStr">
        <is>
          <t>No</t>
        </is>
      </c>
      <c r="J199" t="inlineStr">
        <is>
          <t>0</t>
        </is>
      </c>
      <c r="K199" t="inlineStr">
        <is>
          <t>Lozano, Juan María.</t>
        </is>
      </c>
      <c r="L199" t="inlineStr">
        <is>
          <t>New York : Paulist Press, c1989.</t>
        </is>
      </c>
      <c r="M199" t="inlineStr">
        <is>
          <t>1989</t>
        </is>
      </c>
      <c r="O199" t="inlineStr">
        <is>
          <t>eng</t>
        </is>
      </c>
      <c r="P199" t="inlineStr">
        <is>
          <t>nyu</t>
        </is>
      </c>
      <c r="R199" t="inlineStr">
        <is>
          <t xml:space="preserve">BV </t>
        </is>
      </c>
      <c r="S199" t="n">
        <v>2</v>
      </c>
      <c r="T199" t="n">
        <v>2</v>
      </c>
      <c r="U199" t="inlineStr">
        <is>
          <t>2007-08-08</t>
        </is>
      </c>
      <c r="V199" t="inlineStr">
        <is>
          <t>2007-08-08</t>
        </is>
      </c>
      <c r="W199" t="inlineStr">
        <is>
          <t>2007-06-11</t>
        </is>
      </c>
      <c r="X199" t="inlineStr">
        <is>
          <t>2007-06-11</t>
        </is>
      </c>
      <c r="Y199" t="n">
        <v>96</v>
      </c>
      <c r="Z199" t="n">
        <v>84</v>
      </c>
      <c r="AA199" t="n">
        <v>84</v>
      </c>
      <c r="AB199" t="n">
        <v>1</v>
      </c>
      <c r="AC199" t="n">
        <v>1</v>
      </c>
      <c r="AD199" t="n">
        <v>7</v>
      </c>
      <c r="AE199" t="n">
        <v>7</v>
      </c>
      <c r="AF199" t="n">
        <v>2</v>
      </c>
      <c r="AG199" t="n">
        <v>2</v>
      </c>
      <c r="AH199" t="n">
        <v>1</v>
      </c>
      <c r="AI199" t="n">
        <v>1</v>
      </c>
      <c r="AJ199" t="n">
        <v>5</v>
      </c>
      <c r="AK199" t="n">
        <v>5</v>
      </c>
      <c r="AL199" t="n">
        <v>0</v>
      </c>
      <c r="AM199" t="n">
        <v>0</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HYPERLINK("https://creighton-primo.hosted.exlibrisgroup.com/primo-explore/search?tab=default_tab&amp;search_scope=EVERYTHING&amp;vid=01CRU&amp;lang=en_US&amp;offset=0&amp;query=any,contains,991005090549702656","Catalog Record")</f>
        <v/>
      </c>
      <c r="AT199">
        <f>HYPERLINK("http://www.worldcat.org/oclc/18559552","WorldCat Record")</f>
        <v/>
      </c>
      <c r="AU199" t="inlineStr">
        <is>
          <t>17425559:eng</t>
        </is>
      </c>
      <c r="AV199" t="inlineStr">
        <is>
          <t>18559552</t>
        </is>
      </c>
      <c r="AW199" t="inlineStr">
        <is>
          <t>991005090549702656</t>
        </is>
      </c>
      <c r="AX199" t="inlineStr">
        <is>
          <t>991005090549702656</t>
        </is>
      </c>
      <c r="AY199" t="inlineStr">
        <is>
          <t>2260817230002656</t>
        </is>
      </c>
      <c r="AZ199" t="inlineStr">
        <is>
          <t>BOOK</t>
        </is>
      </c>
      <c r="BB199" t="inlineStr">
        <is>
          <t>9780809130481</t>
        </is>
      </c>
      <c r="BC199" t="inlineStr">
        <is>
          <t>32285005316434</t>
        </is>
      </c>
      <c r="BD199" t="inlineStr">
        <is>
          <t>893870494</t>
        </is>
      </c>
    </row>
    <row r="200">
      <c r="A200" t="inlineStr">
        <is>
          <t>No</t>
        </is>
      </c>
      <c r="B200" t="inlineStr">
        <is>
          <t>BV210.2 .L8713 1987</t>
        </is>
      </c>
      <c r="C200" t="inlineStr">
        <is>
          <t>0                      BV 0210200L  8713        1987</t>
        </is>
      </c>
      <c r="D200" t="inlineStr">
        <is>
          <t>First steps in prayer / Cardinal Jean-Marie Lustiger ; translated by Rebecca Howell Balinski.</t>
        </is>
      </c>
      <c r="F200" t="inlineStr">
        <is>
          <t>No</t>
        </is>
      </c>
      <c r="G200" t="inlineStr">
        <is>
          <t>1</t>
        </is>
      </c>
      <c r="H200" t="inlineStr">
        <is>
          <t>No</t>
        </is>
      </c>
      <c r="I200" t="inlineStr">
        <is>
          <t>No</t>
        </is>
      </c>
      <c r="J200" t="inlineStr">
        <is>
          <t>0</t>
        </is>
      </c>
      <c r="K200" t="inlineStr">
        <is>
          <t>Lustiger, Jean-Marie, 1926-2007.</t>
        </is>
      </c>
      <c r="L200" t="inlineStr">
        <is>
          <t>New York : Doubleday, 1987.</t>
        </is>
      </c>
      <c r="M200" t="inlineStr">
        <is>
          <t>1987</t>
        </is>
      </c>
      <c r="N200" t="inlineStr">
        <is>
          <t>1st ed.</t>
        </is>
      </c>
      <c r="O200" t="inlineStr">
        <is>
          <t>eng</t>
        </is>
      </c>
      <c r="P200" t="inlineStr">
        <is>
          <t>nyu</t>
        </is>
      </c>
      <c r="R200" t="inlineStr">
        <is>
          <t xml:space="preserve">BV </t>
        </is>
      </c>
      <c r="S200" t="n">
        <v>2</v>
      </c>
      <c r="T200" t="n">
        <v>2</v>
      </c>
      <c r="U200" t="inlineStr">
        <is>
          <t>1999-07-06</t>
        </is>
      </c>
      <c r="V200" t="inlineStr">
        <is>
          <t>1999-07-06</t>
        </is>
      </c>
      <c r="W200" t="inlineStr">
        <is>
          <t>1991-11-25</t>
        </is>
      </c>
      <c r="X200" t="inlineStr">
        <is>
          <t>1991-11-25</t>
        </is>
      </c>
      <c r="Y200" t="n">
        <v>121</v>
      </c>
      <c r="Z200" t="n">
        <v>107</v>
      </c>
      <c r="AA200" t="n">
        <v>114</v>
      </c>
      <c r="AB200" t="n">
        <v>3</v>
      </c>
      <c r="AC200" t="n">
        <v>3</v>
      </c>
      <c r="AD200" t="n">
        <v>10</v>
      </c>
      <c r="AE200" t="n">
        <v>10</v>
      </c>
      <c r="AF200" t="n">
        <v>2</v>
      </c>
      <c r="AG200" t="n">
        <v>2</v>
      </c>
      <c r="AH200" t="n">
        <v>2</v>
      </c>
      <c r="AI200" t="n">
        <v>2</v>
      </c>
      <c r="AJ200" t="n">
        <v>8</v>
      </c>
      <c r="AK200" t="n">
        <v>8</v>
      </c>
      <c r="AL200" t="n">
        <v>1</v>
      </c>
      <c r="AM200" t="n">
        <v>1</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HYPERLINK("https://creighton-primo.hosted.exlibrisgroup.com/primo-explore/search?tab=default_tab&amp;search_scope=EVERYTHING&amp;vid=01CRU&amp;lang=en_US&amp;offset=0&amp;query=any,contains,991001019539702656","Catalog Record")</f>
        <v/>
      </c>
      <c r="AT200">
        <f>HYPERLINK("http://www.worldcat.org/oclc/15365982","WorldCat Record")</f>
        <v/>
      </c>
      <c r="AU200" t="inlineStr">
        <is>
          <t>111279472:eng</t>
        </is>
      </c>
      <c r="AV200" t="inlineStr">
        <is>
          <t>15365982</t>
        </is>
      </c>
      <c r="AW200" t="inlineStr">
        <is>
          <t>991001019539702656</t>
        </is>
      </c>
      <c r="AX200" t="inlineStr">
        <is>
          <t>991001019539702656</t>
        </is>
      </c>
      <c r="AY200" t="inlineStr">
        <is>
          <t>2260130620002656</t>
        </is>
      </c>
      <c r="AZ200" t="inlineStr">
        <is>
          <t>BOOK</t>
        </is>
      </c>
      <c r="BB200" t="inlineStr">
        <is>
          <t>9780385241885</t>
        </is>
      </c>
      <c r="BC200" t="inlineStr">
        <is>
          <t>32285000836717</t>
        </is>
      </c>
      <c r="BD200" t="inlineStr">
        <is>
          <t>893791090</t>
        </is>
      </c>
    </row>
    <row r="201">
      <c r="A201" t="inlineStr">
        <is>
          <t>No</t>
        </is>
      </c>
      <c r="B201" t="inlineStr">
        <is>
          <t>BV210.2 .M35</t>
        </is>
      </c>
      <c r="C201" t="inlineStr">
        <is>
          <t>0                      BV 0210200M  35</t>
        </is>
      </c>
      <c r="D201" t="inlineStr">
        <is>
          <t>The Jesus prayer / George A. Maloney.</t>
        </is>
      </c>
      <c r="F201" t="inlineStr">
        <is>
          <t>No</t>
        </is>
      </c>
      <c r="G201" t="inlineStr">
        <is>
          <t>1</t>
        </is>
      </c>
      <c r="H201" t="inlineStr">
        <is>
          <t>No</t>
        </is>
      </c>
      <c r="I201" t="inlineStr">
        <is>
          <t>No</t>
        </is>
      </c>
      <c r="J201" t="inlineStr">
        <is>
          <t>0</t>
        </is>
      </c>
      <c r="K201" t="inlineStr">
        <is>
          <t>Maloney, George A., 1924-2005.</t>
        </is>
      </c>
      <c r="L201" t="inlineStr">
        <is>
          <t>Pecos, N.M. : Dove publications, 1974.</t>
        </is>
      </c>
      <c r="M201" t="inlineStr">
        <is>
          <t>1974</t>
        </is>
      </c>
      <c r="O201" t="inlineStr">
        <is>
          <t>eng</t>
        </is>
      </c>
      <c r="P201" t="inlineStr">
        <is>
          <t xml:space="preserve">xx </t>
        </is>
      </c>
      <c r="R201" t="inlineStr">
        <is>
          <t xml:space="preserve">BV </t>
        </is>
      </c>
      <c r="S201" t="n">
        <v>7</v>
      </c>
      <c r="T201" t="n">
        <v>7</v>
      </c>
      <c r="U201" t="inlineStr">
        <is>
          <t>2008-03-15</t>
        </is>
      </c>
      <c r="V201" t="inlineStr">
        <is>
          <t>2008-03-15</t>
        </is>
      </c>
      <c r="W201" t="inlineStr">
        <is>
          <t>1991-11-25</t>
        </is>
      </c>
      <c r="X201" t="inlineStr">
        <is>
          <t>1991-11-25</t>
        </is>
      </c>
      <c r="Y201" t="n">
        <v>21</v>
      </c>
      <c r="Z201" t="n">
        <v>18</v>
      </c>
      <c r="AA201" t="n">
        <v>18</v>
      </c>
      <c r="AB201" t="n">
        <v>1</v>
      </c>
      <c r="AC201" t="n">
        <v>1</v>
      </c>
      <c r="AD201" t="n">
        <v>3</v>
      </c>
      <c r="AE201" t="n">
        <v>3</v>
      </c>
      <c r="AF201" t="n">
        <v>0</v>
      </c>
      <c r="AG201" t="n">
        <v>0</v>
      </c>
      <c r="AH201" t="n">
        <v>0</v>
      </c>
      <c r="AI201" t="n">
        <v>0</v>
      </c>
      <c r="AJ201" t="n">
        <v>3</v>
      </c>
      <c r="AK201" t="n">
        <v>3</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HYPERLINK("https://creighton-primo.hosted.exlibrisgroup.com/primo-explore/search?tab=default_tab&amp;search_scope=EVERYTHING&amp;vid=01CRU&amp;lang=en_US&amp;offset=0&amp;query=any,contains,991003879579702656","Catalog Record")</f>
        <v/>
      </c>
      <c r="AT201">
        <f>HYPERLINK("http://www.worldcat.org/oclc/1720124","WorldCat Record")</f>
        <v/>
      </c>
      <c r="AU201" t="inlineStr">
        <is>
          <t>2550507789:eng</t>
        </is>
      </c>
      <c r="AV201" t="inlineStr">
        <is>
          <t>1720124</t>
        </is>
      </c>
      <c r="AW201" t="inlineStr">
        <is>
          <t>991003879579702656</t>
        </is>
      </c>
      <c r="AX201" t="inlineStr">
        <is>
          <t>991003879579702656</t>
        </is>
      </c>
      <c r="AY201" t="inlineStr">
        <is>
          <t>2255413120002656</t>
        </is>
      </c>
      <c r="AZ201" t="inlineStr">
        <is>
          <t>BOOK</t>
        </is>
      </c>
      <c r="BC201" t="inlineStr">
        <is>
          <t>32285000836725</t>
        </is>
      </c>
      <c r="BD201" t="inlineStr">
        <is>
          <t>893252933</t>
        </is>
      </c>
    </row>
    <row r="202">
      <c r="A202" t="inlineStr">
        <is>
          <t>No</t>
        </is>
      </c>
      <c r="B202" t="inlineStr">
        <is>
          <t>BV210.2 .M4 1973</t>
        </is>
      </c>
      <c r="C202" t="inlineStr">
        <is>
          <t>0                      BV 0210200M  4           1973</t>
        </is>
      </c>
      <c r="D202" t="inlineStr">
        <is>
          <t>The climate of monastic prayer. Foreword by Douglas V. Steere.</t>
        </is>
      </c>
      <c r="F202" t="inlineStr">
        <is>
          <t>No</t>
        </is>
      </c>
      <c r="G202" t="inlineStr">
        <is>
          <t>1</t>
        </is>
      </c>
      <c r="H202" t="inlineStr">
        <is>
          <t>No</t>
        </is>
      </c>
      <c r="I202" t="inlineStr">
        <is>
          <t>No</t>
        </is>
      </c>
      <c r="J202" t="inlineStr">
        <is>
          <t>0</t>
        </is>
      </c>
      <c r="K202" t="inlineStr">
        <is>
          <t>Merton, Thomas, 1915-1968.</t>
        </is>
      </c>
      <c r="L202" t="inlineStr">
        <is>
          <t>Washington, D. C., Consortium Press, 1973 [c1969]</t>
        </is>
      </c>
      <c r="M202" t="inlineStr">
        <is>
          <t>1973</t>
        </is>
      </c>
      <c r="O202" t="inlineStr">
        <is>
          <t>eng</t>
        </is>
      </c>
      <c r="P202" t="inlineStr">
        <is>
          <t>dcu</t>
        </is>
      </c>
      <c r="Q202" t="inlineStr">
        <is>
          <t>Cistercian studies series ; no. 1</t>
        </is>
      </c>
      <c r="R202" t="inlineStr">
        <is>
          <t xml:space="preserve">BV </t>
        </is>
      </c>
      <c r="S202" t="n">
        <v>1</v>
      </c>
      <c r="T202" t="n">
        <v>1</v>
      </c>
      <c r="U202" t="inlineStr">
        <is>
          <t>1992-10-16</t>
        </is>
      </c>
      <c r="V202" t="inlineStr">
        <is>
          <t>1992-10-16</t>
        </is>
      </c>
      <c r="W202" t="inlineStr">
        <is>
          <t>1991-11-26</t>
        </is>
      </c>
      <c r="X202" t="inlineStr">
        <is>
          <t>1991-11-26</t>
        </is>
      </c>
      <c r="Y202" t="n">
        <v>103</v>
      </c>
      <c r="Z202" t="n">
        <v>96</v>
      </c>
      <c r="AA202" t="n">
        <v>381</v>
      </c>
      <c r="AB202" t="n">
        <v>2</v>
      </c>
      <c r="AC202" t="n">
        <v>4</v>
      </c>
      <c r="AD202" t="n">
        <v>9</v>
      </c>
      <c r="AE202" t="n">
        <v>32</v>
      </c>
      <c r="AF202" t="n">
        <v>2</v>
      </c>
      <c r="AG202" t="n">
        <v>9</v>
      </c>
      <c r="AH202" t="n">
        <v>3</v>
      </c>
      <c r="AI202" t="n">
        <v>10</v>
      </c>
      <c r="AJ202" t="n">
        <v>4</v>
      </c>
      <c r="AK202" t="n">
        <v>19</v>
      </c>
      <c r="AL202" t="n">
        <v>1</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HYPERLINK("https://creighton-primo.hosted.exlibrisgroup.com/primo-explore/search?tab=default_tab&amp;search_scope=EVERYTHING&amp;vid=01CRU&amp;lang=en_US&amp;offset=0&amp;query=any,contains,991003926019702656","Catalog Record")</f>
        <v/>
      </c>
      <c r="AT202">
        <f>HYPERLINK("http://www.worldcat.org/oclc/1882987","WorldCat Record")</f>
        <v/>
      </c>
      <c r="AU202" t="inlineStr">
        <is>
          <t>1261782:eng</t>
        </is>
      </c>
      <c r="AV202" t="inlineStr">
        <is>
          <t>1882987</t>
        </is>
      </c>
      <c r="AW202" t="inlineStr">
        <is>
          <t>991003926019702656</t>
        </is>
      </c>
      <c r="AX202" t="inlineStr">
        <is>
          <t>991003926019702656</t>
        </is>
      </c>
      <c r="AY202" t="inlineStr">
        <is>
          <t>2255085740002656</t>
        </is>
      </c>
      <c r="AZ202" t="inlineStr">
        <is>
          <t>BOOK</t>
        </is>
      </c>
      <c r="BC202" t="inlineStr">
        <is>
          <t>32285000836733</t>
        </is>
      </c>
      <c r="BD202" t="inlineStr">
        <is>
          <t>893611693</t>
        </is>
      </c>
    </row>
    <row r="203">
      <c r="A203" t="inlineStr">
        <is>
          <t>No</t>
        </is>
      </c>
      <c r="B203" t="inlineStr">
        <is>
          <t>BV210.2 .N65 1978</t>
        </is>
      </c>
      <c r="C203" t="inlineStr">
        <is>
          <t>0                      BV 0210200N  65          1978</t>
        </is>
      </c>
      <c r="D203" t="inlineStr">
        <is>
          <t>Why should anyone pray? / by Father Joseph T. Nolan.</t>
        </is>
      </c>
      <c r="F203" t="inlineStr">
        <is>
          <t>No</t>
        </is>
      </c>
      <c r="G203" t="inlineStr">
        <is>
          <t>1</t>
        </is>
      </c>
      <c r="H203" t="inlineStr">
        <is>
          <t>No</t>
        </is>
      </c>
      <c r="I203" t="inlineStr">
        <is>
          <t>No</t>
        </is>
      </c>
      <c r="J203" t="inlineStr">
        <is>
          <t>0</t>
        </is>
      </c>
      <c r="K203" t="inlineStr">
        <is>
          <t>Nolan, Joseph T.</t>
        </is>
      </c>
      <c r="L203" t="inlineStr">
        <is>
          <t>Chicago : Claretian Publications, 1978.</t>
        </is>
      </c>
      <c r="M203" t="inlineStr">
        <is>
          <t>1978</t>
        </is>
      </c>
      <c r="O203" t="inlineStr">
        <is>
          <t>eng</t>
        </is>
      </c>
      <c r="P203" t="inlineStr">
        <is>
          <t xml:space="preserve">xx </t>
        </is>
      </c>
      <c r="R203" t="inlineStr">
        <is>
          <t xml:space="preserve">BV </t>
        </is>
      </c>
      <c r="S203" t="n">
        <v>6</v>
      </c>
      <c r="T203" t="n">
        <v>6</v>
      </c>
      <c r="U203" t="inlineStr">
        <is>
          <t>1998-11-15</t>
        </is>
      </c>
      <c r="V203" t="inlineStr">
        <is>
          <t>1998-11-15</t>
        </is>
      </c>
      <c r="W203" t="inlineStr">
        <is>
          <t>1990-12-28</t>
        </is>
      </c>
      <c r="X203" t="inlineStr">
        <is>
          <t>1990-12-28</t>
        </is>
      </c>
      <c r="Y203" t="n">
        <v>9</v>
      </c>
      <c r="Z203" t="n">
        <v>9</v>
      </c>
      <c r="AA203" t="n">
        <v>10</v>
      </c>
      <c r="AB203" t="n">
        <v>1</v>
      </c>
      <c r="AC203" t="n">
        <v>1</v>
      </c>
      <c r="AD203" t="n">
        <v>2</v>
      </c>
      <c r="AE203" t="n">
        <v>2</v>
      </c>
      <c r="AF203" t="n">
        <v>0</v>
      </c>
      <c r="AG203" t="n">
        <v>0</v>
      </c>
      <c r="AH203" t="n">
        <v>0</v>
      </c>
      <c r="AI203" t="n">
        <v>0</v>
      </c>
      <c r="AJ203" t="n">
        <v>2</v>
      </c>
      <c r="AK203" t="n">
        <v>2</v>
      </c>
      <c r="AL203" t="n">
        <v>0</v>
      </c>
      <c r="AM203" t="n">
        <v>0</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HYPERLINK("https://creighton-primo.hosted.exlibrisgroup.com/primo-explore/search?tab=default_tab&amp;search_scope=EVERYTHING&amp;vid=01CRU&amp;lang=en_US&amp;offset=0&amp;query=any,contains,991005085349702656","Catalog Record")</f>
        <v/>
      </c>
      <c r="AT203">
        <f>HYPERLINK("http://www.worldcat.org/oclc/7192501","WorldCat Record")</f>
        <v/>
      </c>
      <c r="AU203" t="inlineStr">
        <is>
          <t>26655143:eng</t>
        </is>
      </c>
      <c r="AV203" t="inlineStr">
        <is>
          <t>7192501</t>
        </is>
      </c>
      <c r="AW203" t="inlineStr">
        <is>
          <t>991005085349702656</t>
        </is>
      </c>
      <c r="AX203" t="inlineStr">
        <is>
          <t>991005085349702656</t>
        </is>
      </c>
      <c r="AY203" t="inlineStr">
        <is>
          <t>2262315800002656</t>
        </is>
      </c>
      <c r="AZ203" t="inlineStr">
        <is>
          <t>BOOK</t>
        </is>
      </c>
      <c r="BC203" t="inlineStr">
        <is>
          <t>32285000297993</t>
        </is>
      </c>
      <c r="BD203" t="inlineStr">
        <is>
          <t>893694740</t>
        </is>
      </c>
    </row>
    <row r="204">
      <c r="A204" t="inlineStr">
        <is>
          <t>No</t>
        </is>
      </c>
      <c r="B204" t="inlineStr">
        <is>
          <t>BV210.2 .P4313 1974</t>
        </is>
      </c>
      <c r="C204" t="inlineStr">
        <is>
          <t>0                      BV 0210200P  4313        1974</t>
        </is>
      </c>
      <c r="D204" t="inlineStr">
        <is>
          <t>Prayer and life / Piet Penning de Vries ; translated by W. Dudok van Heel ; foreword by Theodore Zwartkruis.</t>
        </is>
      </c>
      <c r="F204" t="inlineStr">
        <is>
          <t>No</t>
        </is>
      </c>
      <c r="G204" t="inlineStr">
        <is>
          <t>1</t>
        </is>
      </c>
      <c r="H204" t="inlineStr">
        <is>
          <t>No</t>
        </is>
      </c>
      <c r="I204" t="inlineStr">
        <is>
          <t>No</t>
        </is>
      </c>
      <c r="J204" t="inlineStr">
        <is>
          <t>0</t>
        </is>
      </c>
      <c r="K204" t="inlineStr">
        <is>
          <t>Penning de Vries, Piet.</t>
        </is>
      </c>
      <c r="L204" t="inlineStr">
        <is>
          <t>Hicksville, N.Y. : Exposition Press, [1974]</t>
        </is>
      </c>
      <c r="M204" t="inlineStr">
        <is>
          <t>1974</t>
        </is>
      </c>
      <c r="N204" t="inlineStr">
        <is>
          <t>1st ed.</t>
        </is>
      </c>
      <c r="O204" t="inlineStr">
        <is>
          <t>eng</t>
        </is>
      </c>
      <c r="P204" t="inlineStr">
        <is>
          <t>nyu</t>
        </is>
      </c>
      <c r="Q204" t="inlineStr">
        <is>
          <t>An Exposition-testament book</t>
        </is>
      </c>
      <c r="R204" t="inlineStr">
        <is>
          <t xml:space="preserve">BV </t>
        </is>
      </c>
      <c r="S204" t="n">
        <v>8</v>
      </c>
      <c r="T204" t="n">
        <v>8</v>
      </c>
      <c r="U204" t="inlineStr">
        <is>
          <t>2000-03-20</t>
        </is>
      </c>
      <c r="V204" t="inlineStr">
        <is>
          <t>2000-03-20</t>
        </is>
      </c>
      <c r="W204" t="inlineStr">
        <is>
          <t>1991-11-26</t>
        </is>
      </c>
      <c r="X204" t="inlineStr">
        <is>
          <t>1991-11-26</t>
        </is>
      </c>
      <c r="Y204" t="n">
        <v>43</v>
      </c>
      <c r="Z204" t="n">
        <v>39</v>
      </c>
      <c r="AA204" t="n">
        <v>39</v>
      </c>
      <c r="AB204" t="n">
        <v>2</v>
      </c>
      <c r="AC204" t="n">
        <v>2</v>
      </c>
      <c r="AD204" t="n">
        <v>5</v>
      </c>
      <c r="AE204" t="n">
        <v>5</v>
      </c>
      <c r="AF204" t="n">
        <v>1</v>
      </c>
      <c r="AG204" t="n">
        <v>1</v>
      </c>
      <c r="AH204" t="n">
        <v>2</v>
      </c>
      <c r="AI204" t="n">
        <v>2</v>
      </c>
      <c r="AJ204" t="n">
        <v>3</v>
      </c>
      <c r="AK204" t="n">
        <v>3</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HYPERLINK("https://creighton-primo.hosted.exlibrisgroup.com/primo-explore/search?tab=default_tab&amp;search_scope=EVERYTHING&amp;vid=01CRU&amp;lang=en_US&amp;offset=0&amp;query=any,contains,991003559799702656","Catalog Record")</f>
        <v/>
      </c>
      <c r="AT204">
        <f>HYPERLINK("http://www.worldcat.org/oclc/1129940","WorldCat Record")</f>
        <v/>
      </c>
      <c r="AU204" t="inlineStr">
        <is>
          <t>2043527:eng</t>
        </is>
      </c>
      <c r="AV204" t="inlineStr">
        <is>
          <t>1129940</t>
        </is>
      </c>
      <c r="AW204" t="inlineStr">
        <is>
          <t>991003559799702656</t>
        </is>
      </c>
      <c r="AX204" t="inlineStr">
        <is>
          <t>991003559799702656</t>
        </is>
      </c>
      <c r="AY204" t="inlineStr">
        <is>
          <t>2272502910002656</t>
        </is>
      </c>
      <c r="AZ204" t="inlineStr">
        <is>
          <t>BOOK</t>
        </is>
      </c>
      <c r="BB204" t="inlineStr">
        <is>
          <t>9780682479851</t>
        </is>
      </c>
      <c r="BC204" t="inlineStr">
        <is>
          <t>32285000836758</t>
        </is>
      </c>
      <c r="BD204" t="inlineStr">
        <is>
          <t>893604906</t>
        </is>
      </c>
    </row>
    <row r="205">
      <c r="A205" t="inlineStr">
        <is>
          <t>No</t>
        </is>
      </c>
      <c r="B205" t="inlineStr">
        <is>
          <t>BV210.2 .P46 1982</t>
        </is>
      </c>
      <c r="C205" t="inlineStr">
        <is>
          <t>0                      BV 0210200P  46          1982</t>
        </is>
      </c>
      <c r="D205" t="inlineStr">
        <is>
          <t>Challenges in prayer / by Basil Pennington.</t>
        </is>
      </c>
      <c r="F205" t="inlineStr">
        <is>
          <t>No</t>
        </is>
      </c>
      <c r="G205" t="inlineStr">
        <is>
          <t>1</t>
        </is>
      </c>
      <c r="H205" t="inlineStr">
        <is>
          <t>No</t>
        </is>
      </c>
      <c r="I205" t="inlineStr">
        <is>
          <t>No</t>
        </is>
      </c>
      <c r="J205" t="inlineStr">
        <is>
          <t>0</t>
        </is>
      </c>
      <c r="K205" t="inlineStr">
        <is>
          <t>Pennington, M. Basil.</t>
        </is>
      </c>
      <c r="L205" t="inlineStr">
        <is>
          <t>Wilmington, Del. : Michael Glazier, 1982.</t>
        </is>
      </c>
      <c r="M205" t="inlineStr">
        <is>
          <t>1982</t>
        </is>
      </c>
      <c r="O205" t="inlineStr">
        <is>
          <t>eng</t>
        </is>
      </c>
      <c r="P205" t="inlineStr">
        <is>
          <t>deu</t>
        </is>
      </c>
      <c r="Q205" t="inlineStr">
        <is>
          <t>Ways of prayer series ; v. 1</t>
        </is>
      </c>
      <c r="R205" t="inlineStr">
        <is>
          <t xml:space="preserve">BV </t>
        </is>
      </c>
      <c r="S205" t="n">
        <v>4</v>
      </c>
      <c r="T205" t="n">
        <v>4</v>
      </c>
      <c r="U205" t="inlineStr">
        <is>
          <t>1994-01-16</t>
        </is>
      </c>
      <c r="V205" t="inlineStr">
        <is>
          <t>1994-01-16</t>
        </is>
      </c>
      <c r="W205" t="inlineStr">
        <is>
          <t>1991-11-26</t>
        </is>
      </c>
      <c r="X205" t="inlineStr">
        <is>
          <t>1991-11-26</t>
        </is>
      </c>
      <c r="Y205" t="n">
        <v>118</v>
      </c>
      <c r="Z205" t="n">
        <v>101</v>
      </c>
      <c r="AA205" t="n">
        <v>180</v>
      </c>
      <c r="AB205" t="n">
        <v>2</v>
      </c>
      <c r="AC205" t="n">
        <v>2</v>
      </c>
      <c r="AD205" t="n">
        <v>16</v>
      </c>
      <c r="AE205" t="n">
        <v>17</v>
      </c>
      <c r="AF205" t="n">
        <v>4</v>
      </c>
      <c r="AG205" t="n">
        <v>4</v>
      </c>
      <c r="AH205" t="n">
        <v>7</v>
      </c>
      <c r="AI205" t="n">
        <v>7</v>
      </c>
      <c r="AJ205" t="n">
        <v>10</v>
      </c>
      <c r="AK205" t="n">
        <v>11</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HYPERLINK("https://creighton-primo.hosted.exlibrisgroup.com/primo-explore/search?tab=default_tab&amp;search_scope=EVERYTHING&amp;vid=01CRU&amp;lang=en_US&amp;offset=0&amp;query=any,contains,991000178369702656","Catalog Record")</f>
        <v/>
      </c>
      <c r="AT205">
        <f>HYPERLINK("http://www.worldcat.org/oclc/9369588","WorldCat Record")</f>
        <v/>
      </c>
      <c r="AU205" t="inlineStr">
        <is>
          <t>422876:eng</t>
        </is>
      </c>
      <c r="AV205" t="inlineStr">
        <is>
          <t>9369588</t>
        </is>
      </c>
      <c r="AW205" t="inlineStr">
        <is>
          <t>991000178369702656</t>
        </is>
      </c>
      <c r="AX205" t="inlineStr">
        <is>
          <t>991000178369702656</t>
        </is>
      </c>
      <c r="AY205" t="inlineStr">
        <is>
          <t>2258982530002656</t>
        </is>
      </c>
      <c r="AZ205" t="inlineStr">
        <is>
          <t>BOOK</t>
        </is>
      </c>
      <c r="BB205" t="inlineStr">
        <is>
          <t>9780894532757</t>
        </is>
      </c>
      <c r="BC205" t="inlineStr">
        <is>
          <t>32285000836774</t>
        </is>
      </c>
      <c r="BD205" t="inlineStr">
        <is>
          <t>893777766</t>
        </is>
      </c>
    </row>
    <row r="206">
      <c r="A206" t="inlineStr">
        <is>
          <t>No</t>
        </is>
      </c>
      <c r="B206" t="inlineStr">
        <is>
          <t>BV210.2 .P62 1974</t>
        </is>
      </c>
      <c r="C206" t="inlineStr">
        <is>
          <t>0                      BV 0210200P  62          1974</t>
        </is>
      </c>
      <c r="D206" t="inlineStr">
        <is>
          <t>He touched me : my pilgrimage of prayer / John Powell.</t>
        </is>
      </c>
      <c r="F206" t="inlineStr">
        <is>
          <t>No</t>
        </is>
      </c>
      <c r="G206" t="inlineStr">
        <is>
          <t>1</t>
        </is>
      </c>
      <c r="H206" t="inlineStr">
        <is>
          <t>No</t>
        </is>
      </c>
      <c r="I206" t="inlineStr">
        <is>
          <t>No</t>
        </is>
      </c>
      <c r="J206" t="inlineStr">
        <is>
          <t>0</t>
        </is>
      </c>
      <c r="K206" t="inlineStr">
        <is>
          <t>Powell, John, 1925-2009.</t>
        </is>
      </c>
      <c r="L206" t="inlineStr">
        <is>
          <t>Allen, Tex. : Tabor Pub., c1974.</t>
        </is>
      </c>
      <c r="M206" t="inlineStr">
        <is>
          <t>1974</t>
        </is>
      </c>
      <c r="O206" t="inlineStr">
        <is>
          <t>eng</t>
        </is>
      </c>
      <c r="P206" t="inlineStr">
        <is>
          <t>txu</t>
        </is>
      </c>
      <c r="R206" t="inlineStr">
        <is>
          <t xml:space="preserve">BV </t>
        </is>
      </c>
      <c r="S206" t="n">
        <v>2</v>
      </c>
      <c r="T206" t="n">
        <v>2</v>
      </c>
      <c r="U206" t="inlineStr">
        <is>
          <t>2003-07-01</t>
        </is>
      </c>
      <c r="V206" t="inlineStr">
        <is>
          <t>2003-07-01</t>
        </is>
      </c>
      <c r="W206" t="inlineStr">
        <is>
          <t>2002-08-13</t>
        </is>
      </c>
      <c r="X206" t="inlineStr">
        <is>
          <t>2002-08-13</t>
        </is>
      </c>
      <c r="Y206" t="n">
        <v>29</v>
      </c>
      <c r="Z206" t="n">
        <v>24</v>
      </c>
      <c r="AA206" t="n">
        <v>205</v>
      </c>
      <c r="AB206" t="n">
        <v>1</v>
      </c>
      <c r="AC206" t="n">
        <v>6</v>
      </c>
      <c r="AD206" t="n">
        <v>0</v>
      </c>
      <c r="AE206" t="n">
        <v>18</v>
      </c>
      <c r="AF206" t="n">
        <v>0</v>
      </c>
      <c r="AG206" t="n">
        <v>4</v>
      </c>
      <c r="AH206" t="n">
        <v>0</v>
      </c>
      <c r="AI206" t="n">
        <v>2</v>
      </c>
      <c r="AJ206" t="n">
        <v>0</v>
      </c>
      <c r="AK206" t="n">
        <v>12</v>
      </c>
      <c r="AL206" t="n">
        <v>0</v>
      </c>
      <c r="AM206" t="n">
        <v>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HYPERLINK("https://creighton-primo.hosted.exlibrisgroup.com/primo-explore/search?tab=default_tab&amp;search_scope=EVERYTHING&amp;vid=01CRU&amp;lang=en_US&amp;offset=0&amp;query=any,contains,991003858759702656","Catalog Record")</f>
        <v/>
      </c>
      <c r="AT206">
        <f>HYPERLINK("http://www.worldcat.org/oclc/18055555","WorldCat Record")</f>
        <v/>
      </c>
      <c r="AU206" t="inlineStr">
        <is>
          <t>2999349037:eng</t>
        </is>
      </c>
      <c r="AV206" t="inlineStr">
        <is>
          <t>18055555</t>
        </is>
      </c>
      <c r="AW206" t="inlineStr">
        <is>
          <t>991003858759702656</t>
        </is>
      </c>
      <c r="AX206" t="inlineStr">
        <is>
          <t>991003858759702656</t>
        </is>
      </c>
      <c r="AY206" t="inlineStr">
        <is>
          <t>2265860550002656</t>
        </is>
      </c>
      <c r="AZ206" t="inlineStr">
        <is>
          <t>BOOK</t>
        </is>
      </c>
      <c r="BB206" t="inlineStr">
        <is>
          <t>9780913592472</t>
        </is>
      </c>
      <c r="BC206" t="inlineStr">
        <is>
          <t>32285004643051</t>
        </is>
      </c>
      <c r="BD206" t="inlineStr">
        <is>
          <t>893599070</t>
        </is>
      </c>
    </row>
    <row r="207">
      <c r="A207" t="inlineStr">
        <is>
          <t>No</t>
        </is>
      </c>
      <c r="B207" t="inlineStr">
        <is>
          <t>BV210.2 .R2513 1974</t>
        </is>
      </c>
      <c r="C207" t="inlineStr">
        <is>
          <t>0                      BV 0210200R  2513        1974</t>
        </is>
      </c>
      <c r="D207" t="inlineStr">
        <is>
          <t>How to pray today / by Yves Raguin. Translated by John Beevers.</t>
        </is>
      </c>
      <c r="F207" t="inlineStr">
        <is>
          <t>No</t>
        </is>
      </c>
      <c r="G207" t="inlineStr">
        <is>
          <t>1</t>
        </is>
      </c>
      <c r="H207" t="inlineStr">
        <is>
          <t>No</t>
        </is>
      </c>
      <c r="I207" t="inlineStr">
        <is>
          <t>No</t>
        </is>
      </c>
      <c r="J207" t="inlineStr">
        <is>
          <t>0</t>
        </is>
      </c>
      <c r="K207" t="inlineStr">
        <is>
          <t>Raguin, Yves, 1912-1998.</t>
        </is>
      </c>
      <c r="L207" t="inlineStr">
        <is>
          <t>St. Meinrad, Ind. : Abbey Press, 1974.</t>
        </is>
      </c>
      <c r="M207" t="inlineStr">
        <is>
          <t>1974</t>
        </is>
      </c>
      <c r="O207" t="inlineStr">
        <is>
          <t>eng</t>
        </is>
      </c>
      <c r="P207" t="inlineStr">
        <is>
          <t>inu</t>
        </is>
      </c>
      <c r="Q207" t="inlineStr">
        <is>
          <t>Religious experience series ; v. 4</t>
        </is>
      </c>
      <c r="R207" t="inlineStr">
        <is>
          <t xml:space="preserve">BV </t>
        </is>
      </c>
      <c r="S207" t="n">
        <v>5</v>
      </c>
      <c r="T207" t="n">
        <v>5</v>
      </c>
      <c r="U207" t="inlineStr">
        <is>
          <t>1999-11-27</t>
        </is>
      </c>
      <c r="V207" t="inlineStr">
        <is>
          <t>1999-11-27</t>
        </is>
      </c>
      <c r="W207" t="inlineStr">
        <is>
          <t>1991-11-26</t>
        </is>
      </c>
      <c r="X207" t="inlineStr">
        <is>
          <t>1991-11-26</t>
        </is>
      </c>
      <c r="Y207" t="n">
        <v>96</v>
      </c>
      <c r="Z207" t="n">
        <v>82</v>
      </c>
      <c r="AA207" t="n">
        <v>83</v>
      </c>
      <c r="AB207" t="n">
        <v>2</v>
      </c>
      <c r="AC207" t="n">
        <v>2</v>
      </c>
      <c r="AD207" t="n">
        <v>12</v>
      </c>
      <c r="AE207" t="n">
        <v>12</v>
      </c>
      <c r="AF207" t="n">
        <v>2</v>
      </c>
      <c r="AG207" t="n">
        <v>2</v>
      </c>
      <c r="AH207" t="n">
        <v>2</v>
      </c>
      <c r="AI207" t="n">
        <v>2</v>
      </c>
      <c r="AJ207" t="n">
        <v>11</v>
      </c>
      <c r="AK207" t="n">
        <v>11</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HYPERLINK("https://creighton-primo.hosted.exlibrisgroup.com/primo-explore/search?tab=default_tab&amp;search_scope=EVERYTHING&amp;vid=01CRU&amp;lang=en_US&amp;offset=0&amp;query=any,contains,991003353029702656","Catalog Record")</f>
        <v/>
      </c>
      <c r="AT207">
        <f>HYPERLINK("http://www.worldcat.org/oclc/886209","WorldCat Record")</f>
        <v/>
      </c>
      <c r="AU207" t="inlineStr">
        <is>
          <t>1882094853:eng</t>
        </is>
      </c>
      <c r="AV207" t="inlineStr">
        <is>
          <t>886209</t>
        </is>
      </c>
      <c r="AW207" t="inlineStr">
        <is>
          <t>991003353029702656</t>
        </is>
      </c>
      <c r="AX207" t="inlineStr">
        <is>
          <t>991003353029702656</t>
        </is>
      </c>
      <c r="AY207" t="inlineStr">
        <is>
          <t>2257362070002656</t>
        </is>
      </c>
      <c r="AZ207" t="inlineStr">
        <is>
          <t>BOOK</t>
        </is>
      </c>
      <c r="BB207" t="inlineStr">
        <is>
          <t>9780870290282</t>
        </is>
      </c>
      <c r="BC207" t="inlineStr">
        <is>
          <t>32285000836824</t>
        </is>
      </c>
      <c r="BD207" t="inlineStr">
        <is>
          <t>893617273</t>
        </is>
      </c>
    </row>
    <row r="208">
      <c r="A208" t="inlineStr">
        <is>
          <t>No</t>
        </is>
      </c>
      <c r="B208" t="inlineStr">
        <is>
          <t>BV210.2 .R58213 1973</t>
        </is>
      </c>
      <c r="C208" t="inlineStr">
        <is>
          <t>0                      BV 0210200R  58213       1973</t>
        </is>
      </c>
      <c r="D208" t="inlineStr">
        <is>
          <t>Courage to pray / Anthony Bloom and Georges LeFebvre ; translated by Dinah Livingstone.</t>
        </is>
      </c>
      <c r="F208" t="inlineStr">
        <is>
          <t>No</t>
        </is>
      </c>
      <c r="G208" t="inlineStr">
        <is>
          <t>1</t>
        </is>
      </c>
      <c r="H208" t="inlineStr">
        <is>
          <t>No</t>
        </is>
      </c>
      <c r="I208" t="inlineStr">
        <is>
          <t>No</t>
        </is>
      </c>
      <c r="J208" t="inlineStr">
        <is>
          <t>0</t>
        </is>
      </c>
      <c r="K208" t="inlineStr">
        <is>
          <t>Bloom, Anthony, 1914-2003.</t>
        </is>
      </c>
      <c r="L208" t="inlineStr">
        <is>
          <t>New York : Paulist Press, c1973.</t>
        </is>
      </c>
      <c r="M208" t="inlineStr">
        <is>
          <t>1973</t>
        </is>
      </c>
      <c r="O208" t="inlineStr">
        <is>
          <t>eng</t>
        </is>
      </c>
      <c r="P208" t="inlineStr">
        <is>
          <t>nyu</t>
        </is>
      </c>
      <c r="R208" t="inlineStr">
        <is>
          <t xml:space="preserve">BV </t>
        </is>
      </c>
      <c r="S208" t="n">
        <v>3</v>
      </c>
      <c r="T208" t="n">
        <v>3</v>
      </c>
      <c r="U208" t="inlineStr">
        <is>
          <t>2003-02-06</t>
        </is>
      </c>
      <c r="V208" t="inlineStr">
        <is>
          <t>2003-02-06</t>
        </is>
      </c>
      <c r="W208" t="inlineStr">
        <is>
          <t>1991-11-26</t>
        </is>
      </c>
      <c r="X208" t="inlineStr">
        <is>
          <t>1991-11-26</t>
        </is>
      </c>
      <c r="Y208" t="n">
        <v>210</v>
      </c>
      <c r="Z208" t="n">
        <v>186</v>
      </c>
      <c r="AA208" t="n">
        <v>258</v>
      </c>
      <c r="AB208" t="n">
        <v>3</v>
      </c>
      <c r="AC208" t="n">
        <v>3</v>
      </c>
      <c r="AD208" t="n">
        <v>17</v>
      </c>
      <c r="AE208" t="n">
        <v>22</v>
      </c>
      <c r="AF208" t="n">
        <v>3</v>
      </c>
      <c r="AG208" t="n">
        <v>7</v>
      </c>
      <c r="AH208" t="n">
        <v>5</v>
      </c>
      <c r="AI208" t="n">
        <v>6</v>
      </c>
      <c r="AJ208" t="n">
        <v>13</v>
      </c>
      <c r="AK208" t="n">
        <v>15</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HYPERLINK("https://creighton-primo.hosted.exlibrisgroup.com/primo-explore/search?tab=default_tab&amp;search_scope=EVERYTHING&amp;vid=01CRU&amp;lang=en_US&amp;offset=0&amp;query=any,contains,991003552319702656","Catalog Record")</f>
        <v/>
      </c>
      <c r="AT208">
        <f>HYPERLINK("http://www.worldcat.org/oclc/1120516","WorldCat Record")</f>
        <v/>
      </c>
      <c r="AU208" t="inlineStr">
        <is>
          <t>101336467:eng</t>
        </is>
      </c>
      <c r="AV208" t="inlineStr">
        <is>
          <t>1120516</t>
        </is>
      </c>
      <c r="AW208" t="inlineStr">
        <is>
          <t>991003552319702656</t>
        </is>
      </c>
      <c r="AX208" t="inlineStr">
        <is>
          <t>991003552319702656</t>
        </is>
      </c>
      <c r="AY208" t="inlineStr">
        <is>
          <t>2268719390002656</t>
        </is>
      </c>
      <c r="AZ208" t="inlineStr">
        <is>
          <t>BOOK</t>
        </is>
      </c>
      <c r="BB208" t="inlineStr">
        <is>
          <t>9780809101900</t>
        </is>
      </c>
      <c r="BC208" t="inlineStr">
        <is>
          <t>32285000836865</t>
        </is>
      </c>
      <c r="BD208" t="inlineStr">
        <is>
          <t>893441418</t>
        </is>
      </c>
    </row>
    <row r="209">
      <c r="A209" t="inlineStr">
        <is>
          <t>No</t>
        </is>
      </c>
      <c r="B209" t="inlineStr">
        <is>
          <t>BV210.2 .S3 1977</t>
        </is>
      </c>
      <c r="C209" t="inlineStr">
        <is>
          <t>0                      BV 0210200S  3           1977</t>
        </is>
      </c>
      <c r="D209" t="inlineStr">
        <is>
          <t>The radiant heart / by Linda Sabbath ; foreword by Rev. George A. Maloney, S. J.</t>
        </is>
      </c>
      <c r="F209" t="inlineStr">
        <is>
          <t>No</t>
        </is>
      </c>
      <c r="G209" t="inlineStr">
        <is>
          <t>1</t>
        </is>
      </c>
      <c r="H209" t="inlineStr">
        <is>
          <t>No</t>
        </is>
      </c>
      <c r="I209" t="inlineStr">
        <is>
          <t>No</t>
        </is>
      </c>
      <c r="J209" t="inlineStr">
        <is>
          <t>0</t>
        </is>
      </c>
      <c r="K209" t="inlineStr">
        <is>
          <t>Sabbath, Linda.</t>
        </is>
      </c>
      <c r="L209" t="inlineStr">
        <is>
          <t>Denville, N.J. : Dimension Books ; Toronto, Ont. : Griffin Press, c1977.</t>
        </is>
      </c>
      <c r="M209" t="inlineStr">
        <is>
          <t>1977</t>
        </is>
      </c>
      <c r="O209" t="inlineStr">
        <is>
          <t>eng</t>
        </is>
      </c>
      <c r="P209" t="inlineStr">
        <is>
          <t>nju</t>
        </is>
      </c>
      <c r="R209" t="inlineStr">
        <is>
          <t xml:space="preserve">BV </t>
        </is>
      </c>
      <c r="S209" t="n">
        <v>2</v>
      </c>
      <c r="T209" t="n">
        <v>2</v>
      </c>
      <c r="U209" t="inlineStr">
        <is>
          <t>2005-02-09</t>
        </is>
      </c>
      <c r="V209" t="inlineStr">
        <is>
          <t>2005-02-09</t>
        </is>
      </c>
      <c r="W209" t="inlineStr">
        <is>
          <t>1990-06-28</t>
        </is>
      </c>
      <c r="X209" t="inlineStr">
        <is>
          <t>1990-06-28</t>
        </is>
      </c>
      <c r="Y209" t="n">
        <v>37</v>
      </c>
      <c r="Z209" t="n">
        <v>26</v>
      </c>
      <c r="AA209" t="n">
        <v>26</v>
      </c>
      <c r="AB209" t="n">
        <v>1</v>
      </c>
      <c r="AC209" t="n">
        <v>1</v>
      </c>
      <c r="AD209" t="n">
        <v>3</v>
      </c>
      <c r="AE209" t="n">
        <v>3</v>
      </c>
      <c r="AF209" t="n">
        <v>0</v>
      </c>
      <c r="AG209" t="n">
        <v>0</v>
      </c>
      <c r="AH209" t="n">
        <v>0</v>
      </c>
      <c r="AI209" t="n">
        <v>0</v>
      </c>
      <c r="AJ209" t="n">
        <v>3</v>
      </c>
      <c r="AK209" t="n">
        <v>3</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HYPERLINK("https://creighton-primo.hosted.exlibrisgroup.com/primo-explore/search?tab=default_tab&amp;search_scope=EVERYTHING&amp;vid=01CRU&amp;lang=en_US&amp;offset=0&amp;query=any,contains,991004619989702656","Catalog Record")</f>
        <v/>
      </c>
      <c r="AT209">
        <f>HYPERLINK("http://www.worldcat.org/oclc/4285062","WorldCat Record")</f>
        <v/>
      </c>
      <c r="AU209" t="inlineStr">
        <is>
          <t>14585561:eng</t>
        </is>
      </c>
      <c r="AV209" t="inlineStr">
        <is>
          <t>4285062</t>
        </is>
      </c>
      <c r="AW209" t="inlineStr">
        <is>
          <t>991004619989702656</t>
        </is>
      </c>
      <c r="AX209" t="inlineStr">
        <is>
          <t>991004619989702656</t>
        </is>
      </c>
      <c r="AY209" t="inlineStr">
        <is>
          <t>2255652660002656</t>
        </is>
      </c>
      <c r="AZ209" t="inlineStr">
        <is>
          <t>BOOK</t>
        </is>
      </c>
      <c r="BB209" t="inlineStr">
        <is>
          <t>9780871930286</t>
        </is>
      </c>
      <c r="BC209" t="inlineStr">
        <is>
          <t>32285000215490</t>
        </is>
      </c>
      <c r="BD209" t="inlineStr">
        <is>
          <t>893776212</t>
        </is>
      </c>
    </row>
    <row r="210">
      <c r="A210" t="inlineStr">
        <is>
          <t>No</t>
        </is>
      </c>
      <c r="B210" t="inlineStr">
        <is>
          <t>BV210.2 .S477 1988</t>
        </is>
      </c>
      <c r="C210" t="inlineStr">
        <is>
          <t>0                      BV 0210200S  477         1988</t>
        </is>
      </c>
      <c r="D210" t="inlineStr">
        <is>
          <t>Seeking the face of God / William H. Shannon.</t>
        </is>
      </c>
      <c r="F210" t="inlineStr">
        <is>
          <t>No</t>
        </is>
      </c>
      <c r="G210" t="inlineStr">
        <is>
          <t>1</t>
        </is>
      </c>
      <c r="H210" t="inlineStr">
        <is>
          <t>No</t>
        </is>
      </c>
      <c r="I210" t="inlineStr">
        <is>
          <t>No</t>
        </is>
      </c>
      <c r="J210" t="inlineStr">
        <is>
          <t>0</t>
        </is>
      </c>
      <c r="K210" t="inlineStr">
        <is>
          <t>Shannon, William H. (William Henry), 1917-2012.</t>
        </is>
      </c>
      <c r="L210" t="inlineStr">
        <is>
          <t>New York : Crossroad, c1988.</t>
        </is>
      </c>
      <c r="M210" t="inlineStr">
        <is>
          <t>1988</t>
        </is>
      </c>
      <c r="O210" t="inlineStr">
        <is>
          <t>eng</t>
        </is>
      </c>
      <c r="P210" t="inlineStr">
        <is>
          <t>nyu</t>
        </is>
      </c>
      <c r="R210" t="inlineStr">
        <is>
          <t xml:space="preserve">BV </t>
        </is>
      </c>
      <c r="S210" t="n">
        <v>5</v>
      </c>
      <c r="T210" t="n">
        <v>5</v>
      </c>
      <c r="U210" t="inlineStr">
        <is>
          <t>2003-05-28</t>
        </is>
      </c>
      <c r="V210" t="inlineStr">
        <is>
          <t>2003-05-28</t>
        </is>
      </c>
      <c r="W210" t="inlineStr">
        <is>
          <t>1991-07-11</t>
        </is>
      </c>
      <c r="X210" t="inlineStr">
        <is>
          <t>1991-07-11</t>
        </is>
      </c>
      <c r="Y210" t="n">
        <v>210</v>
      </c>
      <c r="Z210" t="n">
        <v>196</v>
      </c>
      <c r="AA210" t="n">
        <v>216</v>
      </c>
      <c r="AB210" t="n">
        <v>2</v>
      </c>
      <c r="AC210" t="n">
        <v>2</v>
      </c>
      <c r="AD210" t="n">
        <v>14</v>
      </c>
      <c r="AE210" t="n">
        <v>15</v>
      </c>
      <c r="AF210" t="n">
        <v>3</v>
      </c>
      <c r="AG210" t="n">
        <v>4</v>
      </c>
      <c r="AH210" t="n">
        <v>2</v>
      </c>
      <c r="AI210" t="n">
        <v>2</v>
      </c>
      <c r="AJ210" t="n">
        <v>10</v>
      </c>
      <c r="AK210" t="n">
        <v>11</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HYPERLINK("https://creighton-primo.hosted.exlibrisgroup.com/primo-explore/search?tab=default_tab&amp;search_scope=EVERYTHING&amp;vid=01CRU&amp;lang=en_US&amp;offset=0&amp;query=any,contains,991001177439702656","Catalog Record")</f>
        <v/>
      </c>
      <c r="AT210">
        <f>HYPERLINK("http://www.worldcat.org/oclc/17104033","WorldCat Record")</f>
        <v/>
      </c>
      <c r="AU210" t="inlineStr">
        <is>
          <t>47271187:eng</t>
        </is>
      </c>
      <c r="AV210" t="inlineStr">
        <is>
          <t>17104033</t>
        </is>
      </c>
      <c r="AW210" t="inlineStr">
        <is>
          <t>991001177439702656</t>
        </is>
      </c>
      <c r="AX210" t="inlineStr">
        <is>
          <t>991001177439702656</t>
        </is>
      </c>
      <c r="AY210" t="inlineStr">
        <is>
          <t>2269497320002656</t>
        </is>
      </c>
      <c r="AZ210" t="inlineStr">
        <is>
          <t>BOOK</t>
        </is>
      </c>
      <c r="BB210" t="inlineStr">
        <is>
          <t>9780824508838</t>
        </is>
      </c>
      <c r="BC210" t="inlineStr">
        <is>
          <t>32285000637313</t>
        </is>
      </c>
      <c r="BD210" t="inlineStr">
        <is>
          <t>893702816</t>
        </is>
      </c>
    </row>
    <row r="211">
      <c r="A211" t="inlineStr">
        <is>
          <t>No</t>
        </is>
      </c>
      <c r="B211" t="inlineStr">
        <is>
          <t>BV210.2 .S66</t>
        </is>
      </c>
      <c r="C211" t="inlineStr">
        <is>
          <t>0                      BV 0210200S  66</t>
        </is>
      </c>
      <c r="D211" t="inlineStr">
        <is>
          <t>Honest prayer / John Shelby Spong.</t>
        </is>
      </c>
      <c r="F211" t="inlineStr">
        <is>
          <t>No</t>
        </is>
      </c>
      <c r="G211" t="inlineStr">
        <is>
          <t>1</t>
        </is>
      </c>
      <c r="H211" t="inlineStr">
        <is>
          <t>No</t>
        </is>
      </c>
      <c r="I211" t="inlineStr">
        <is>
          <t>No</t>
        </is>
      </c>
      <c r="J211" t="inlineStr">
        <is>
          <t>0</t>
        </is>
      </c>
      <c r="K211" t="inlineStr">
        <is>
          <t>Spong, John Shelby.</t>
        </is>
      </c>
      <c r="L211" t="inlineStr">
        <is>
          <t>New York, Seabury Press [1972, c1973]</t>
        </is>
      </c>
      <c r="M211" t="inlineStr">
        <is>
          <t>1972</t>
        </is>
      </c>
      <c r="O211" t="inlineStr">
        <is>
          <t>eng</t>
        </is>
      </c>
      <c r="P211" t="inlineStr">
        <is>
          <t>nyu</t>
        </is>
      </c>
      <c r="R211" t="inlineStr">
        <is>
          <t xml:space="preserve">BV </t>
        </is>
      </c>
      <c r="S211" t="n">
        <v>4</v>
      </c>
      <c r="T211" t="n">
        <v>4</v>
      </c>
      <c r="U211" t="inlineStr">
        <is>
          <t>2006-11-14</t>
        </is>
      </c>
      <c r="V211" t="inlineStr">
        <is>
          <t>2006-11-14</t>
        </is>
      </c>
      <c r="W211" t="inlineStr">
        <is>
          <t>1991-11-26</t>
        </is>
      </c>
      <c r="X211" t="inlineStr">
        <is>
          <t>1991-11-26</t>
        </is>
      </c>
      <c r="Y211" t="n">
        <v>132</v>
      </c>
      <c r="Z211" t="n">
        <v>126</v>
      </c>
      <c r="AA211" t="n">
        <v>145</v>
      </c>
      <c r="AB211" t="n">
        <v>2</v>
      </c>
      <c r="AC211" t="n">
        <v>2</v>
      </c>
      <c r="AD211" t="n">
        <v>8</v>
      </c>
      <c r="AE211" t="n">
        <v>9</v>
      </c>
      <c r="AF211" t="n">
        <v>1</v>
      </c>
      <c r="AG211" t="n">
        <v>2</v>
      </c>
      <c r="AH211" t="n">
        <v>4</v>
      </c>
      <c r="AI211" t="n">
        <v>4</v>
      </c>
      <c r="AJ211" t="n">
        <v>5</v>
      </c>
      <c r="AK211" t="n">
        <v>5</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HYPERLINK("https://creighton-primo.hosted.exlibrisgroup.com/primo-explore/search?tab=default_tab&amp;search_scope=EVERYTHING&amp;vid=01CRU&amp;lang=en_US&amp;offset=0&amp;query=any,contains,991003004899702656","Catalog Record")</f>
        <v/>
      </c>
      <c r="AT211">
        <f>HYPERLINK("http://www.worldcat.org/oclc/572215","WorldCat Record")</f>
        <v/>
      </c>
      <c r="AU211" t="inlineStr">
        <is>
          <t>513732:eng</t>
        </is>
      </c>
      <c r="AV211" t="inlineStr">
        <is>
          <t>572215</t>
        </is>
      </c>
      <c r="AW211" t="inlineStr">
        <is>
          <t>991003004899702656</t>
        </is>
      </c>
      <c r="AX211" t="inlineStr">
        <is>
          <t>991003004899702656</t>
        </is>
      </c>
      <c r="AY211" t="inlineStr">
        <is>
          <t>2272365710002656</t>
        </is>
      </c>
      <c r="AZ211" t="inlineStr">
        <is>
          <t>BOOK</t>
        </is>
      </c>
      <c r="BB211" t="inlineStr">
        <is>
          <t>9780816402458</t>
        </is>
      </c>
      <c r="BC211" t="inlineStr">
        <is>
          <t>32285000836899</t>
        </is>
      </c>
      <c r="BD211" t="inlineStr">
        <is>
          <t>893251902</t>
        </is>
      </c>
    </row>
    <row r="212">
      <c r="A212" t="inlineStr">
        <is>
          <t>No</t>
        </is>
      </c>
      <c r="B212" t="inlineStr">
        <is>
          <t>BV210.2 .T68 1983</t>
        </is>
      </c>
      <c r="C212" t="inlineStr">
        <is>
          <t>0                      BV 0210200T  68          1983</t>
        </is>
      </c>
      <c r="D212" t="inlineStr">
        <is>
          <t>Faith, prayer, and devotion / Ralph Townsend.</t>
        </is>
      </c>
      <c r="F212" t="inlineStr">
        <is>
          <t>No</t>
        </is>
      </c>
      <c r="G212" t="inlineStr">
        <is>
          <t>1</t>
        </is>
      </c>
      <c r="H212" t="inlineStr">
        <is>
          <t>No</t>
        </is>
      </c>
      <c r="I212" t="inlineStr">
        <is>
          <t>No</t>
        </is>
      </c>
      <c r="J212" t="inlineStr">
        <is>
          <t>0</t>
        </is>
      </c>
      <c r="K212" t="inlineStr">
        <is>
          <t>Townsend, Ralph.</t>
        </is>
      </c>
      <c r="L212" t="inlineStr">
        <is>
          <t>Oxford, England : B. Blackwell, 1983.</t>
        </is>
      </c>
      <c r="M212" t="inlineStr">
        <is>
          <t>1983</t>
        </is>
      </c>
      <c r="O212" t="inlineStr">
        <is>
          <t>eng</t>
        </is>
      </c>
      <c r="P212" t="inlineStr">
        <is>
          <t>enk</t>
        </is>
      </c>
      <c r="Q212" t="inlineStr">
        <is>
          <t>Faith and the future</t>
        </is>
      </c>
      <c r="R212" t="inlineStr">
        <is>
          <t xml:space="preserve">BV </t>
        </is>
      </c>
      <c r="S212" t="n">
        <v>9</v>
      </c>
      <c r="T212" t="n">
        <v>9</v>
      </c>
      <c r="U212" t="inlineStr">
        <is>
          <t>2001-03-30</t>
        </is>
      </c>
      <c r="V212" t="inlineStr">
        <is>
          <t>2001-03-30</t>
        </is>
      </c>
      <c r="W212" t="inlineStr">
        <is>
          <t>1991-11-26</t>
        </is>
      </c>
      <c r="X212" t="inlineStr">
        <is>
          <t>1991-11-26</t>
        </is>
      </c>
      <c r="Y212" t="n">
        <v>120</v>
      </c>
      <c r="Z212" t="n">
        <v>77</v>
      </c>
      <c r="AA212" t="n">
        <v>81</v>
      </c>
      <c r="AB212" t="n">
        <v>1</v>
      </c>
      <c r="AC212" t="n">
        <v>1</v>
      </c>
      <c r="AD212" t="n">
        <v>8</v>
      </c>
      <c r="AE212" t="n">
        <v>8</v>
      </c>
      <c r="AF212" t="n">
        <v>1</v>
      </c>
      <c r="AG212" t="n">
        <v>1</v>
      </c>
      <c r="AH212" t="n">
        <v>1</v>
      </c>
      <c r="AI212" t="n">
        <v>1</v>
      </c>
      <c r="AJ212" t="n">
        <v>8</v>
      </c>
      <c r="AK212" t="n">
        <v>8</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HYPERLINK("https://creighton-primo.hosted.exlibrisgroup.com/primo-explore/search?tab=default_tab&amp;search_scope=EVERYTHING&amp;vid=01CRU&amp;lang=en_US&amp;offset=0&amp;query=any,contains,991000520229702656","Catalog Record")</f>
        <v/>
      </c>
      <c r="AT212">
        <f>HYPERLINK("http://www.worldcat.org/oclc/11318374","WorldCat Record")</f>
        <v/>
      </c>
      <c r="AU212" t="inlineStr">
        <is>
          <t>3917970:eng</t>
        </is>
      </c>
      <c r="AV212" t="inlineStr">
        <is>
          <t>11318374</t>
        </is>
      </c>
      <c r="AW212" t="inlineStr">
        <is>
          <t>991000520229702656</t>
        </is>
      </c>
      <c r="AX212" t="inlineStr">
        <is>
          <t>991000520229702656</t>
        </is>
      </c>
      <c r="AY212" t="inlineStr">
        <is>
          <t>2256199030002656</t>
        </is>
      </c>
      <c r="AZ212" t="inlineStr">
        <is>
          <t>BOOK</t>
        </is>
      </c>
      <c r="BB212" t="inlineStr">
        <is>
          <t>9780631132325</t>
        </is>
      </c>
      <c r="BC212" t="inlineStr">
        <is>
          <t>32285000836907</t>
        </is>
      </c>
      <c r="BD212" t="inlineStr">
        <is>
          <t>893790597</t>
        </is>
      </c>
    </row>
    <row r="213">
      <c r="A213" t="inlineStr">
        <is>
          <t>No</t>
        </is>
      </c>
      <c r="B213" t="inlineStr">
        <is>
          <t>BV210.2 .T82 1974</t>
        </is>
      </c>
      <c r="C213" t="inlineStr">
        <is>
          <t>0                      BV 0210200T  82          1974</t>
        </is>
      </c>
      <c r="D213" t="inlineStr">
        <is>
          <t>Prayer in practice / Simon Tugwell.</t>
        </is>
      </c>
      <c r="F213" t="inlineStr">
        <is>
          <t>No</t>
        </is>
      </c>
      <c r="G213" t="inlineStr">
        <is>
          <t>1</t>
        </is>
      </c>
      <c r="H213" t="inlineStr">
        <is>
          <t>No</t>
        </is>
      </c>
      <c r="I213" t="inlineStr">
        <is>
          <t>No</t>
        </is>
      </c>
      <c r="J213" t="inlineStr">
        <is>
          <t>0</t>
        </is>
      </c>
      <c r="K213" t="inlineStr">
        <is>
          <t>Tugwell, Simon.</t>
        </is>
      </c>
      <c r="L213" t="inlineStr">
        <is>
          <t>Springfield, Ill. : Templegate Publishers, c1974.</t>
        </is>
      </c>
      <c r="M213" t="inlineStr">
        <is>
          <t>1974</t>
        </is>
      </c>
      <c r="O213" t="inlineStr">
        <is>
          <t>eng</t>
        </is>
      </c>
      <c r="P213" t="inlineStr">
        <is>
          <t>ilu</t>
        </is>
      </c>
      <c r="R213" t="inlineStr">
        <is>
          <t xml:space="preserve">BV </t>
        </is>
      </c>
      <c r="S213" t="n">
        <v>9</v>
      </c>
      <c r="T213" t="n">
        <v>9</v>
      </c>
      <c r="U213" t="inlineStr">
        <is>
          <t>2007-07-13</t>
        </is>
      </c>
      <c r="V213" t="inlineStr">
        <is>
          <t>2007-07-13</t>
        </is>
      </c>
      <c r="W213" t="inlineStr">
        <is>
          <t>1991-11-26</t>
        </is>
      </c>
      <c r="X213" t="inlineStr">
        <is>
          <t>1991-11-26</t>
        </is>
      </c>
      <c r="Y213" t="n">
        <v>97</v>
      </c>
      <c r="Z213" t="n">
        <v>84</v>
      </c>
      <c r="AA213" t="n">
        <v>170</v>
      </c>
      <c r="AB213" t="n">
        <v>1</v>
      </c>
      <c r="AC213" t="n">
        <v>2</v>
      </c>
      <c r="AD213" t="n">
        <v>9</v>
      </c>
      <c r="AE213" t="n">
        <v>15</v>
      </c>
      <c r="AF213" t="n">
        <v>3</v>
      </c>
      <c r="AG213" t="n">
        <v>5</v>
      </c>
      <c r="AH213" t="n">
        <v>2</v>
      </c>
      <c r="AI213" t="n">
        <v>4</v>
      </c>
      <c r="AJ213" t="n">
        <v>5</v>
      </c>
      <c r="AK213" t="n">
        <v>10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HYPERLINK("https://creighton-primo.hosted.exlibrisgroup.com/primo-explore/search?tab=default_tab&amp;search_scope=EVERYTHING&amp;vid=01CRU&amp;lang=en_US&amp;offset=0&amp;query=any,contains,991001049449702656","Catalog Record")</f>
        <v/>
      </c>
      <c r="AT213">
        <f>HYPERLINK("http://www.worldcat.org/oclc/15634827","WorldCat Record")</f>
        <v/>
      </c>
      <c r="AU213" t="inlineStr">
        <is>
          <t>3943368823:eng</t>
        </is>
      </c>
      <c r="AV213" t="inlineStr">
        <is>
          <t>15634827</t>
        </is>
      </c>
      <c r="AW213" t="inlineStr">
        <is>
          <t>991001049449702656</t>
        </is>
      </c>
      <c r="AX213" t="inlineStr">
        <is>
          <t>991001049449702656</t>
        </is>
      </c>
      <c r="AY213" t="inlineStr">
        <is>
          <t>2255378070002656</t>
        </is>
      </c>
      <c r="AZ213" t="inlineStr">
        <is>
          <t>BOOK</t>
        </is>
      </c>
      <c r="BB213" t="inlineStr">
        <is>
          <t>9780872430624</t>
        </is>
      </c>
      <c r="BC213" t="inlineStr">
        <is>
          <t>32285000836915</t>
        </is>
      </c>
      <c r="BD213" t="inlineStr">
        <is>
          <t>893315461</t>
        </is>
      </c>
    </row>
    <row r="214">
      <c r="A214" t="inlineStr">
        <is>
          <t>No</t>
        </is>
      </c>
      <c r="B214" t="inlineStr">
        <is>
          <t>BV210.2 .V32 1963</t>
        </is>
      </c>
      <c r="C214" t="inlineStr">
        <is>
          <t>0                      BV 0210200V  32          1963</t>
        </is>
      </c>
      <c r="D214" t="inlineStr">
        <is>
          <t>Prayer in other words : a presentation for beginners / by Hubert Van Zeller.</t>
        </is>
      </c>
      <c r="F214" t="inlineStr">
        <is>
          <t>No</t>
        </is>
      </c>
      <c r="G214" t="inlineStr">
        <is>
          <t>1</t>
        </is>
      </c>
      <c r="H214" t="inlineStr">
        <is>
          <t>No</t>
        </is>
      </c>
      <c r="I214" t="inlineStr">
        <is>
          <t>No</t>
        </is>
      </c>
      <c r="J214" t="inlineStr">
        <is>
          <t>0</t>
        </is>
      </c>
      <c r="K214" t="inlineStr">
        <is>
          <t>Van Zeller, Hubert, 1905-1984.</t>
        </is>
      </c>
      <c r="L214" t="inlineStr">
        <is>
          <t>Springfield, Ill. : Templegate, [1963]</t>
        </is>
      </c>
      <c r="M214" t="inlineStr">
        <is>
          <t>1963</t>
        </is>
      </c>
      <c r="O214" t="inlineStr">
        <is>
          <t>eng</t>
        </is>
      </c>
      <c r="P214" t="inlineStr">
        <is>
          <t>ilu</t>
        </is>
      </c>
      <c r="Q214" t="inlineStr">
        <is>
          <t>In other words series</t>
        </is>
      </c>
      <c r="R214" t="inlineStr">
        <is>
          <t xml:space="preserve">BV </t>
        </is>
      </c>
      <c r="S214" t="n">
        <v>1</v>
      </c>
      <c r="T214" t="n">
        <v>1</v>
      </c>
      <c r="U214" t="inlineStr">
        <is>
          <t>1994-01-16</t>
        </is>
      </c>
      <c r="V214" t="inlineStr">
        <is>
          <t>1994-01-16</t>
        </is>
      </c>
      <c r="W214" t="inlineStr">
        <is>
          <t>1993-01-28</t>
        </is>
      </c>
      <c r="X214" t="inlineStr">
        <is>
          <t>1993-01-28</t>
        </is>
      </c>
      <c r="Y214" t="n">
        <v>81</v>
      </c>
      <c r="Z214" t="n">
        <v>73</v>
      </c>
      <c r="AA214" t="n">
        <v>78</v>
      </c>
      <c r="AB214" t="n">
        <v>1</v>
      </c>
      <c r="AC214" t="n">
        <v>1</v>
      </c>
      <c r="AD214" t="n">
        <v>10</v>
      </c>
      <c r="AE214" t="n">
        <v>10</v>
      </c>
      <c r="AF214" t="n">
        <v>0</v>
      </c>
      <c r="AG214" t="n">
        <v>0</v>
      </c>
      <c r="AH214" t="n">
        <v>2</v>
      </c>
      <c r="AI214" t="n">
        <v>2</v>
      </c>
      <c r="AJ214" t="n">
        <v>9</v>
      </c>
      <c r="AK214" t="n">
        <v>9</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HYPERLINK("https://creighton-primo.hosted.exlibrisgroup.com/primo-explore/search?tab=default_tab&amp;search_scope=EVERYTHING&amp;vid=01CRU&amp;lang=en_US&amp;offset=0&amp;query=any,contains,991003380609702656","Catalog Record")</f>
        <v/>
      </c>
      <c r="AT214">
        <f>HYPERLINK("http://www.worldcat.org/oclc/917071","WorldCat Record")</f>
        <v/>
      </c>
      <c r="AU214" t="inlineStr">
        <is>
          <t>148343738:eng</t>
        </is>
      </c>
      <c r="AV214" t="inlineStr">
        <is>
          <t>917071</t>
        </is>
      </c>
      <c r="AW214" t="inlineStr">
        <is>
          <t>991003380609702656</t>
        </is>
      </c>
      <c r="AX214" t="inlineStr">
        <is>
          <t>991003380609702656</t>
        </is>
      </c>
      <c r="AY214" t="inlineStr">
        <is>
          <t>2260204640002656</t>
        </is>
      </c>
      <c r="AZ214" t="inlineStr">
        <is>
          <t>BOOK</t>
        </is>
      </c>
      <c r="BC214" t="inlineStr">
        <is>
          <t>32285001479582</t>
        </is>
      </c>
      <c r="BD214" t="inlineStr">
        <is>
          <t>893240163</t>
        </is>
      </c>
    </row>
    <row r="215">
      <c r="A215" t="inlineStr">
        <is>
          <t>No</t>
        </is>
      </c>
      <c r="B215" t="inlineStr">
        <is>
          <t>BV210.2 .W45 1972</t>
        </is>
      </c>
      <c r="C215" t="inlineStr">
        <is>
          <t>0                      BV 0210200W  45          1972</t>
        </is>
      </c>
      <c r="D215" t="inlineStr">
        <is>
          <t>Benjamin, essays in prayer / [by] Joseph P. Whelan.</t>
        </is>
      </c>
      <c r="F215" t="inlineStr">
        <is>
          <t>No</t>
        </is>
      </c>
      <c r="G215" t="inlineStr">
        <is>
          <t>1</t>
        </is>
      </c>
      <c r="H215" t="inlineStr">
        <is>
          <t>No</t>
        </is>
      </c>
      <c r="I215" t="inlineStr">
        <is>
          <t>No</t>
        </is>
      </c>
      <c r="J215" t="inlineStr">
        <is>
          <t>0</t>
        </is>
      </c>
      <c r="K215" t="inlineStr">
        <is>
          <t>Whelan, Joseph P.</t>
        </is>
      </c>
      <c r="L215" t="inlineStr">
        <is>
          <t>New York : Newman Press, [1972]</t>
        </is>
      </c>
      <c r="M215" t="inlineStr">
        <is>
          <t>1972</t>
        </is>
      </c>
      <c r="O215" t="inlineStr">
        <is>
          <t>eng</t>
        </is>
      </c>
      <c r="P215" t="inlineStr">
        <is>
          <t>nyu</t>
        </is>
      </c>
      <c r="R215" t="inlineStr">
        <is>
          <t xml:space="preserve">BV </t>
        </is>
      </c>
      <c r="S215" t="n">
        <v>2</v>
      </c>
      <c r="T215" t="n">
        <v>2</v>
      </c>
      <c r="U215" t="inlineStr">
        <is>
          <t>1996-11-20</t>
        </is>
      </c>
      <c r="V215" t="inlineStr">
        <is>
          <t>1996-11-20</t>
        </is>
      </c>
      <c r="W215" t="inlineStr">
        <is>
          <t>1991-11-26</t>
        </is>
      </c>
      <c r="X215" t="inlineStr">
        <is>
          <t>1991-11-26</t>
        </is>
      </c>
      <c r="Y215" t="n">
        <v>126</v>
      </c>
      <c r="Z215" t="n">
        <v>112</v>
      </c>
      <c r="AA215" t="n">
        <v>119</v>
      </c>
      <c r="AB215" t="n">
        <v>3</v>
      </c>
      <c r="AC215" t="n">
        <v>3</v>
      </c>
      <c r="AD215" t="n">
        <v>19</v>
      </c>
      <c r="AE215" t="n">
        <v>19</v>
      </c>
      <c r="AF215" t="n">
        <v>3</v>
      </c>
      <c r="AG215" t="n">
        <v>3</v>
      </c>
      <c r="AH215" t="n">
        <v>6</v>
      </c>
      <c r="AI215" t="n">
        <v>6</v>
      </c>
      <c r="AJ215" t="n">
        <v>15</v>
      </c>
      <c r="AK215" t="n">
        <v>15</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HYPERLINK("https://creighton-primo.hosted.exlibrisgroup.com/primo-explore/search?tab=default_tab&amp;search_scope=EVERYTHING&amp;vid=01CRU&amp;lang=en_US&amp;offset=0&amp;query=any,contains,991002321569702656","Catalog Record")</f>
        <v/>
      </c>
      <c r="AT215">
        <f>HYPERLINK("http://www.worldcat.org/oclc/320374","WorldCat Record")</f>
        <v/>
      </c>
      <c r="AU215" t="inlineStr">
        <is>
          <t>1320797853:eng</t>
        </is>
      </c>
      <c r="AV215" t="inlineStr">
        <is>
          <t>320374</t>
        </is>
      </c>
      <c r="AW215" t="inlineStr">
        <is>
          <t>991002321569702656</t>
        </is>
      </c>
      <c r="AX215" t="inlineStr">
        <is>
          <t>991002321569702656</t>
        </is>
      </c>
      <c r="AY215" t="inlineStr">
        <is>
          <t>2258861480002656</t>
        </is>
      </c>
      <c r="AZ215" t="inlineStr">
        <is>
          <t>BOOK</t>
        </is>
      </c>
      <c r="BC215" t="inlineStr">
        <is>
          <t>32285000836931</t>
        </is>
      </c>
      <c r="BD215" t="inlineStr">
        <is>
          <t>893809425</t>
        </is>
      </c>
    </row>
    <row r="216">
      <c r="A216" t="inlineStr">
        <is>
          <t>No</t>
        </is>
      </c>
      <c r="B216" t="inlineStr">
        <is>
          <t>BV210.2 .Y85</t>
        </is>
      </c>
      <c r="C216" t="inlineStr">
        <is>
          <t>0                      BV 0210200Y  85</t>
        </is>
      </c>
      <c r="D216" t="inlineStr">
        <is>
          <t>Rediscovering prayer / [by] John R. Yungblut.</t>
        </is>
      </c>
      <c r="F216" t="inlineStr">
        <is>
          <t>No</t>
        </is>
      </c>
      <c r="G216" t="inlineStr">
        <is>
          <t>1</t>
        </is>
      </c>
      <c r="H216" t="inlineStr">
        <is>
          <t>No</t>
        </is>
      </c>
      <c r="I216" t="inlineStr">
        <is>
          <t>No</t>
        </is>
      </c>
      <c r="J216" t="inlineStr">
        <is>
          <t>0</t>
        </is>
      </c>
      <c r="K216" t="inlineStr">
        <is>
          <t>Yungblut, John R.</t>
        </is>
      </c>
      <c r="L216" t="inlineStr">
        <is>
          <t>New York, Seabury Press [1972]</t>
        </is>
      </c>
      <c r="M216" t="inlineStr">
        <is>
          <t>1972</t>
        </is>
      </c>
      <c r="O216" t="inlineStr">
        <is>
          <t>eng</t>
        </is>
      </c>
      <c r="P216" t="inlineStr">
        <is>
          <t>nyu</t>
        </is>
      </c>
      <c r="R216" t="inlineStr">
        <is>
          <t xml:space="preserve">BV </t>
        </is>
      </c>
      <c r="S216" t="n">
        <v>2</v>
      </c>
      <c r="T216" t="n">
        <v>2</v>
      </c>
      <c r="U216" t="inlineStr">
        <is>
          <t>1993-12-17</t>
        </is>
      </c>
      <c r="V216" t="inlineStr">
        <is>
          <t>1993-12-17</t>
        </is>
      </c>
      <c r="W216" t="inlineStr">
        <is>
          <t>1991-11-26</t>
        </is>
      </c>
      <c r="X216" t="inlineStr">
        <is>
          <t>1991-11-26</t>
        </is>
      </c>
      <c r="Y216" t="n">
        <v>128</v>
      </c>
      <c r="Z216" t="n">
        <v>117</v>
      </c>
      <c r="AA216" t="n">
        <v>128</v>
      </c>
      <c r="AB216" t="n">
        <v>1</v>
      </c>
      <c r="AC216" t="n">
        <v>1</v>
      </c>
      <c r="AD216" t="n">
        <v>9</v>
      </c>
      <c r="AE216" t="n">
        <v>11</v>
      </c>
      <c r="AF216" t="n">
        <v>4</v>
      </c>
      <c r="AG216" t="n">
        <v>5</v>
      </c>
      <c r="AH216" t="n">
        <v>3</v>
      </c>
      <c r="AI216" t="n">
        <v>3</v>
      </c>
      <c r="AJ216" t="n">
        <v>6</v>
      </c>
      <c r="AK216" t="n">
        <v>7</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HYPERLINK("https://creighton-primo.hosted.exlibrisgroup.com/primo-explore/search?tab=default_tab&amp;search_scope=EVERYTHING&amp;vid=01CRU&amp;lang=en_US&amp;offset=0&amp;query=any,contains,991002666659702656","Catalog Record")</f>
        <v/>
      </c>
      <c r="AT216">
        <f>HYPERLINK("http://www.worldcat.org/oclc/393462","WorldCat Record")</f>
        <v/>
      </c>
      <c r="AU216" t="inlineStr">
        <is>
          <t>3943691365:eng</t>
        </is>
      </c>
      <c r="AV216" t="inlineStr">
        <is>
          <t>393462</t>
        </is>
      </c>
      <c r="AW216" t="inlineStr">
        <is>
          <t>991002666659702656</t>
        </is>
      </c>
      <c r="AX216" t="inlineStr">
        <is>
          <t>991002666659702656</t>
        </is>
      </c>
      <c r="AY216" t="inlineStr">
        <is>
          <t>2259859960002656</t>
        </is>
      </c>
      <c r="AZ216" t="inlineStr">
        <is>
          <t>BOOK</t>
        </is>
      </c>
      <c r="BB216" t="inlineStr">
        <is>
          <t>9780816402380</t>
        </is>
      </c>
      <c r="BC216" t="inlineStr">
        <is>
          <t>32285000836964</t>
        </is>
      </c>
      <c r="BD216" t="inlineStr">
        <is>
          <t>893809609</t>
        </is>
      </c>
    </row>
    <row r="217">
      <c r="A217" t="inlineStr">
        <is>
          <t>No</t>
        </is>
      </c>
      <c r="B217" t="inlineStr">
        <is>
          <t>BV2110 .A4 1976</t>
        </is>
      </c>
      <c r="C217" t="inlineStr">
        <is>
          <t>0                      BV 2110000A  4           1976</t>
        </is>
      </c>
      <c r="D217" t="inlineStr">
        <is>
          <t>The medieval missionary : a study of the conversion of Northern Europe, A.D. 500-1300 / by James Thayer Addison.</t>
        </is>
      </c>
      <c r="F217" t="inlineStr">
        <is>
          <t>No</t>
        </is>
      </c>
      <c r="G217" t="inlineStr">
        <is>
          <t>1</t>
        </is>
      </c>
      <c r="H217" t="inlineStr">
        <is>
          <t>No</t>
        </is>
      </c>
      <c r="I217" t="inlineStr">
        <is>
          <t>No</t>
        </is>
      </c>
      <c r="J217" t="inlineStr">
        <is>
          <t>0</t>
        </is>
      </c>
      <c r="K217" t="inlineStr">
        <is>
          <t>Addison, James Thayer, 1887-1953.</t>
        </is>
      </c>
      <c r="L217" t="inlineStr">
        <is>
          <t>Philadelphia : Porcupine Press, 1976.</t>
        </is>
      </c>
      <c r="M217" t="inlineStr">
        <is>
          <t>1976</t>
        </is>
      </c>
      <c r="O217" t="inlineStr">
        <is>
          <t>eng</t>
        </is>
      </c>
      <c r="P217" t="inlineStr">
        <is>
          <t>pau</t>
        </is>
      </c>
      <c r="Q217" t="inlineStr">
        <is>
          <t>Perspectives in European history ; no. 1</t>
        </is>
      </c>
      <c r="R217" t="inlineStr">
        <is>
          <t xml:space="preserve">BV </t>
        </is>
      </c>
      <c r="S217" t="n">
        <v>3</v>
      </c>
      <c r="T217" t="n">
        <v>3</v>
      </c>
      <c r="U217" t="inlineStr">
        <is>
          <t>2003-10-27</t>
        </is>
      </c>
      <c r="V217" t="inlineStr">
        <is>
          <t>2003-10-27</t>
        </is>
      </c>
      <c r="W217" t="inlineStr">
        <is>
          <t>1992-02-06</t>
        </is>
      </c>
      <c r="X217" t="inlineStr">
        <is>
          <t>1992-02-06</t>
        </is>
      </c>
      <c r="Y217" t="n">
        <v>192</v>
      </c>
      <c r="Z217" t="n">
        <v>134</v>
      </c>
      <c r="AA217" t="n">
        <v>266</v>
      </c>
      <c r="AB217" t="n">
        <v>1</v>
      </c>
      <c r="AC217" t="n">
        <v>1</v>
      </c>
      <c r="AD217" t="n">
        <v>4</v>
      </c>
      <c r="AE217" t="n">
        <v>9</v>
      </c>
      <c r="AF217" t="n">
        <v>2</v>
      </c>
      <c r="AG217" t="n">
        <v>3</v>
      </c>
      <c r="AH217" t="n">
        <v>0</v>
      </c>
      <c r="AI217" t="n">
        <v>1</v>
      </c>
      <c r="AJ217" t="n">
        <v>3</v>
      </c>
      <c r="AK217" t="n">
        <v>6</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HYPERLINK("https://creighton-primo.hosted.exlibrisgroup.com/primo-explore/search?tab=default_tab&amp;search_scope=EVERYTHING&amp;vid=01CRU&amp;lang=en_US&amp;offset=0&amp;query=any,contains,991004019049702656","Catalog Record")</f>
        <v/>
      </c>
      <c r="AT217">
        <f>HYPERLINK("http://www.worldcat.org/oclc/2119416","WorldCat Record")</f>
        <v/>
      </c>
      <c r="AU217" t="inlineStr">
        <is>
          <t>2153809:eng</t>
        </is>
      </c>
      <c r="AV217" t="inlineStr">
        <is>
          <t>2119416</t>
        </is>
      </c>
      <c r="AW217" t="inlineStr">
        <is>
          <t>991004019049702656</t>
        </is>
      </c>
      <c r="AX217" t="inlineStr">
        <is>
          <t>991004019049702656</t>
        </is>
      </c>
      <c r="AY217" t="inlineStr">
        <is>
          <t>2268009260002656</t>
        </is>
      </c>
      <c r="AZ217" t="inlineStr">
        <is>
          <t>BOOK</t>
        </is>
      </c>
      <c r="BB217" t="inlineStr">
        <is>
          <t>9780879916107</t>
        </is>
      </c>
      <c r="BC217" t="inlineStr">
        <is>
          <t>32285000927573</t>
        </is>
      </c>
      <c r="BD217" t="inlineStr">
        <is>
          <t>893423279</t>
        </is>
      </c>
    </row>
    <row r="218">
      <c r="A218" t="inlineStr">
        <is>
          <t>No</t>
        </is>
      </c>
      <c r="B218" t="inlineStr">
        <is>
          <t>BV2120 .B4</t>
        </is>
      </c>
      <c r="C218" t="inlineStr">
        <is>
          <t>0                      BV 2120000B  4</t>
        </is>
      </c>
      <c r="D218" t="inlineStr">
        <is>
          <t>Ecumenical beginnings in Protestant world mission : a history of comity / by R. Pierce Beaver.</t>
        </is>
      </c>
      <c r="F218" t="inlineStr">
        <is>
          <t>No</t>
        </is>
      </c>
      <c r="G218" t="inlineStr">
        <is>
          <t>1</t>
        </is>
      </c>
      <c r="H218" t="inlineStr">
        <is>
          <t>No</t>
        </is>
      </c>
      <c r="I218" t="inlineStr">
        <is>
          <t>No</t>
        </is>
      </c>
      <c r="J218" t="inlineStr">
        <is>
          <t>0</t>
        </is>
      </c>
      <c r="K218" t="inlineStr">
        <is>
          <t>Beaver, R. Pierce (Robert Pierce), 1906-1987.</t>
        </is>
      </c>
      <c r="L218" t="inlineStr">
        <is>
          <t>New York, Nelson [1962]</t>
        </is>
      </c>
      <c r="M218" t="inlineStr">
        <is>
          <t>1962</t>
        </is>
      </c>
      <c r="O218" t="inlineStr">
        <is>
          <t>eng</t>
        </is>
      </c>
      <c r="P218" t="inlineStr">
        <is>
          <t>nyu</t>
        </is>
      </c>
      <c r="R218" t="inlineStr">
        <is>
          <t xml:space="preserve">BV </t>
        </is>
      </c>
      <c r="S218" t="n">
        <v>1</v>
      </c>
      <c r="T218" t="n">
        <v>1</v>
      </c>
      <c r="U218" t="inlineStr">
        <is>
          <t>1993-01-30</t>
        </is>
      </c>
      <c r="V218" t="inlineStr">
        <is>
          <t>1993-01-30</t>
        </is>
      </c>
      <c r="W218" t="inlineStr">
        <is>
          <t>1992-02-06</t>
        </is>
      </c>
      <c r="X218" t="inlineStr">
        <is>
          <t>1992-02-06</t>
        </is>
      </c>
      <c r="Y218" t="n">
        <v>285</v>
      </c>
      <c r="Z218" t="n">
        <v>243</v>
      </c>
      <c r="AA218" t="n">
        <v>248</v>
      </c>
      <c r="AB218" t="n">
        <v>1</v>
      </c>
      <c r="AC218" t="n">
        <v>1</v>
      </c>
      <c r="AD218" t="n">
        <v>12</v>
      </c>
      <c r="AE218" t="n">
        <v>12</v>
      </c>
      <c r="AF218" t="n">
        <v>5</v>
      </c>
      <c r="AG218" t="n">
        <v>5</v>
      </c>
      <c r="AH218" t="n">
        <v>1</v>
      </c>
      <c r="AI218" t="n">
        <v>1</v>
      </c>
      <c r="AJ218" t="n">
        <v>7</v>
      </c>
      <c r="AK218" t="n">
        <v>7</v>
      </c>
      <c r="AL218" t="n">
        <v>0</v>
      </c>
      <c r="AM218" t="n">
        <v>0</v>
      </c>
      <c r="AN218" t="n">
        <v>0</v>
      </c>
      <c r="AO218" t="n">
        <v>0</v>
      </c>
      <c r="AP218" t="inlineStr">
        <is>
          <t>Yes</t>
        </is>
      </c>
      <c r="AQ218" t="inlineStr">
        <is>
          <t>No</t>
        </is>
      </c>
      <c r="AR218">
        <f>HYPERLINK("http://catalog.hathitrust.org/Record/102044087","HathiTrust Record")</f>
        <v/>
      </c>
      <c r="AS218">
        <f>HYPERLINK("https://creighton-primo.hosted.exlibrisgroup.com/primo-explore/search?tab=default_tab&amp;search_scope=EVERYTHING&amp;vid=01CRU&amp;lang=en_US&amp;offset=0&amp;query=any,contains,991004318669702656","Catalog Record")</f>
        <v/>
      </c>
      <c r="AT218">
        <f>HYPERLINK("http://www.worldcat.org/oclc/3015529","WorldCat Record")</f>
        <v/>
      </c>
      <c r="AU218" t="inlineStr">
        <is>
          <t>428888719:eng</t>
        </is>
      </c>
      <c r="AV218" t="inlineStr">
        <is>
          <t>3015529</t>
        </is>
      </c>
      <c r="AW218" t="inlineStr">
        <is>
          <t>991004318669702656</t>
        </is>
      </c>
      <c r="AX218" t="inlineStr">
        <is>
          <t>991004318669702656</t>
        </is>
      </c>
      <c r="AY218" t="inlineStr">
        <is>
          <t>2272675370002656</t>
        </is>
      </c>
      <c r="AZ218" t="inlineStr">
        <is>
          <t>BOOK</t>
        </is>
      </c>
      <c r="BC218" t="inlineStr">
        <is>
          <t>32285000927581</t>
        </is>
      </c>
      <c r="BD218" t="inlineStr">
        <is>
          <t>893325213</t>
        </is>
      </c>
    </row>
    <row r="219">
      <c r="A219" t="inlineStr">
        <is>
          <t>No</t>
        </is>
      </c>
      <c r="B219" t="inlineStr">
        <is>
          <t>BV2120 .H3</t>
        </is>
      </c>
      <c r="C219" t="inlineStr">
        <is>
          <t>0                      BV 2120000H  3</t>
        </is>
      </c>
      <c r="D219" t="inlineStr">
        <is>
          <t>Frontiers of the Christian world mission since 1938 : essays in honor of Kenneth Scott Latourette / edited by Wilbur C. Harr.</t>
        </is>
      </c>
      <c r="F219" t="inlineStr">
        <is>
          <t>No</t>
        </is>
      </c>
      <c r="G219" t="inlineStr">
        <is>
          <t>1</t>
        </is>
      </c>
      <c r="H219" t="inlineStr">
        <is>
          <t>No</t>
        </is>
      </c>
      <c r="I219" t="inlineStr">
        <is>
          <t>No</t>
        </is>
      </c>
      <c r="J219" t="inlineStr">
        <is>
          <t>0</t>
        </is>
      </c>
      <c r="L219" t="inlineStr">
        <is>
          <t>New York, Harper &amp; Bros. [1962]</t>
        </is>
      </c>
      <c r="M219" t="inlineStr">
        <is>
          <t>1962</t>
        </is>
      </c>
      <c r="N219" t="inlineStr">
        <is>
          <t>[1st ed.]</t>
        </is>
      </c>
      <c r="O219" t="inlineStr">
        <is>
          <t>eng</t>
        </is>
      </c>
      <c r="P219" t="inlineStr">
        <is>
          <t>___</t>
        </is>
      </c>
      <c r="R219" t="inlineStr">
        <is>
          <t xml:space="preserve">BV </t>
        </is>
      </c>
      <c r="S219" t="n">
        <v>8</v>
      </c>
      <c r="T219" t="n">
        <v>8</v>
      </c>
      <c r="U219" t="inlineStr">
        <is>
          <t>2004-03-15</t>
        </is>
      </c>
      <c r="V219" t="inlineStr">
        <is>
          <t>2004-03-15</t>
        </is>
      </c>
      <c r="W219" t="inlineStr">
        <is>
          <t>1992-02-06</t>
        </is>
      </c>
      <c r="X219" t="inlineStr">
        <is>
          <t>1992-02-06</t>
        </is>
      </c>
      <c r="Y219" t="n">
        <v>343</v>
      </c>
      <c r="Z219" t="n">
        <v>298</v>
      </c>
      <c r="AA219" t="n">
        <v>300</v>
      </c>
      <c r="AB219" t="n">
        <v>2</v>
      </c>
      <c r="AC219" t="n">
        <v>2</v>
      </c>
      <c r="AD219" t="n">
        <v>14</v>
      </c>
      <c r="AE219" t="n">
        <v>14</v>
      </c>
      <c r="AF219" t="n">
        <v>6</v>
      </c>
      <c r="AG219" t="n">
        <v>6</v>
      </c>
      <c r="AH219" t="n">
        <v>1</v>
      </c>
      <c r="AI219" t="n">
        <v>1</v>
      </c>
      <c r="AJ219" t="n">
        <v>7</v>
      </c>
      <c r="AK219" t="n">
        <v>7</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HYPERLINK("https://creighton-primo.hosted.exlibrisgroup.com/primo-explore/search?tab=default_tab&amp;search_scope=EVERYTHING&amp;vid=01CRU&amp;lang=en_US&amp;offset=0&amp;query=any,contains,991003724669702656","Catalog Record")</f>
        <v/>
      </c>
      <c r="AT219">
        <f>HYPERLINK("http://www.worldcat.org/oclc/1370633","WorldCat Record")</f>
        <v/>
      </c>
      <c r="AU219" t="inlineStr">
        <is>
          <t>134158613:eng</t>
        </is>
      </c>
      <c r="AV219" t="inlineStr">
        <is>
          <t>1370633</t>
        </is>
      </c>
      <c r="AW219" t="inlineStr">
        <is>
          <t>991003724669702656</t>
        </is>
      </c>
      <c r="AX219" t="inlineStr">
        <is>
          <t>991003724669702656</t>
        </is>
      </c>
      <c r="AY219" t="inlineStr">
        <is>
          <t>2261836050002656</t>
        </is>
      </c>
      <c r="AZ219" t="inlineStr">
        <is>
          <t>BOOK</t>
        </is>
      </c>
      <c r="BC219" t="inlineStr">
        <is>
          <t>32285000927599</t>
        </is>
      </c>
      <c r="BD219" t="inlineStr">
        <is>
          <t>893718006</t>
        </is>
      </c>
    </row>
    <row r="220">
      <c r="A220" t="inlineStr">
        <is>
          <t>No</t>
        </is>
      </c>
      <c r="B220" t="inlineStr">
        <is>
          <t>BV213 .F36</t>
        </is>
      </c>
      <c r="C220" t="inlineStr">
        <is>
          <t>0                      BV 0213000F  36</t>
        </is>
      </c>
      <c r="D220" t="inlineStr">
        <is>
          <t>Praying / by Robert Faricy.</t>
        </is>
      </c>
      <c r="F220" t="inlineStr">
        <is>
          <t>No</t>
        </is>
      </c>
      <c r="G220" t="inlineStr">
        <is>
          <t>1</t>
        </is>
      </c>
      <c r="H220" t="inlineStr">
        <is>
          <t>No</t>
        </is>
      </c>
      <c r="I220" t="inlineStr">
        <is>
          <t>No</t>
        </is>
      </c>
      <c r="J220" t="inlineStr">
        <is>
          <t>0</t>
        </is>
      </c>
      <c r="K220" t="inlineStr">
        <is>
          <t>Faricy, Robert L., 1926-</t>
        </is>
      </c>
      <c r="L220" t="inlineStr">
        <is>
          <t>Minneapolis : Winston Press, c1979.</t>
        </is>
      </c>
      <c r="M220" t="inlineStr">
        <is>
          <t>1979</t>
        </is>
      </c>
      <c r="O220" t="inlineStr">
        <is>
          <t>eng</t>
        </is>
      </c>
      <c r="P220" t="inlineStr">
        <is>
          <t>mnu</t>
        </is>
      </c>
      <c r="R220" t="inlineStr">
        <is>
          <t xml:space="preserve">BV </t>
        </is>
      </c>
      <c r="S220" t="n">
        <v>7</v>
      </c>
      <c r="T220" t="n">
        <v>7</v>
      </c>
      <c r="U220" t="inlineStr">
        <is>
          <t>1996-11-20</t>
        </is>
      </c>
      <c r="V220" t="inlineStr">
        <is>
          <t>1996-11-20</t>
        </is>
      </c>
      <c r="W220" t="inlineStr">
        <is>
          <t>1991-11-26</t>
        </is>
      </c>
      <c r="X220" t="inlineStr">
        <is>
          <t>1991-11-26</t>
        </is>
      </c>
      <c r="Y220" t="n">
        <v>97</v>
      </c>
      <c r="Z220" t="n">
        <v>85</v>
      </c>
      <c r="AA220" t="n">
        <v>92</v>
      </c>
      <c r="AB220" t="n">
        <v>1</v>
      </c>
      <c r="AC220" t="n">
        <v>1</v>
      </c>
      <c r="AD220" t="n">
        <v>12</v>
      </c>
      <c r="AE220" t="n">
        <v>13</v>
      </c>
      <c r="AF220" t="n">
        <v>2</v>
      </c>
      <c r="AG220" t="n">
        <v>2</v>
      </c>
      <c r="AH220" t="n">
        <v>3</v>
      </c>
      <c r="AI220" t="n">
        <v>3</v>
      </c>
      <c r="AJ220" t="n">
        <v>10</v>
      </c>
      <c r="AK220" t="n">
        <v>11</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HYPERLINK("https://creighton-primo.hosted.exlibrisgroup.com/primo-explore/search?tab=default_tab&amp;search_scope=EVERYTHING&amp;vid=01CRU&amp;lang=en_US&amp;offset=0&amp;query=any,contains,991004938519702656","Catalog Record")</f>
        <v/>
      </c>
      <c r="AT220">
        <f>HYPERLINK("http://www.worldcat.org/oclc/6153084","WorldCat Record")</f>
        <v/>
      </c>
      <c r="AU220" t="inlineStr">
        <is>
          <t>4199904:eng</t>
        </is>
      </c>
      <c r="AV220" t="inlineStr">
        <is>
          <t>6153084</t>
        </is>
      </c>
      <c r="AW220" t="inlineStr">
        <is>
          <t>991004938519702656</t>
        </is>
      </c>
      <c r="AX220" t="inlineStr">
        <is>
          <t>991004938519702656</t>
        </is>
      </c>
      <c r="AY220" t="inlineStr">
        <is>
          <t>2263208890002656</t>
        </is>
      </c>
      <c r="AZ220" t="inlineStr">
        <is>
          <t>BOOK</t>
        </is>
      </c>
      <c r="BB220" t="inlineStr">
        <is>
          <t>9780030566615</t>
        </is>
      </c>
      <c r="BC220" t="inlineStr">
        <is>
          <t>32285000836998</t>
        </is>
      </c>
      <c r="BD220" t="inlineStr">
        <is>
          <t>893248136</t>
        </is>
      </c>
    </row>
    <row r="221">
      <c r="A221" t="inlineStr">
        <is>
          <t>No</t>
        </is>
      </c>
      <c r="B221" t="inlineStr">
        <is>
          <t>BV213 .H78 1927</t>
        </is>
      </c>
      <c r="C221" t="inlineStr">
        <is>
          <t>0                      BV 0213000H  78          1927</t>
        </is>
      </c>
      <c r="D221" t="inlineStr">
        <is>
          <t>The life of prayer / by Baron Friedrich von Hügel.</t>
        </is>
      </c>
      <c r="F221" t="inlineStr">
        <is>
          <t>No</t>
        </is>
      </c>
      <c r="G221" t="inlineStr">
        <is>
          <t>1</t>
        </is>
      </c>
      <c r="H221" t="inlineStr">
        <is>
          <t>No</t>
        </is>
      </c>
      <c r="I221" t="inlineStr">
        <is>
          <t>No</t>
        </is>
      </c>
      <c r="J221" t="inlineStr">
        <is>
          <t>0</t>
        </is>
      </c>
      <c r="K221" t="inlineStr">
        <is>
          <t>Hügel, Friedrich, Freiherr von, 1852-1925.</t>
        </is>
      </c>
      <c r="L221" t="inlineStr">
        <is>
          <t>New York : E. P. Dutton &amp; co., inc., c1927, 1960 printing.</t>
        </is>
      </c>
      <c r="M221" t="inlineStr">
        <is>
          <t>1927</t>
        </is>
      </c>
      <c r="O221" t="inlineStr">
        <is>
          <t>eng</t>
        </is>
      </c>
      <c r="P221" t="inlineStr">
        <is>
          <t>nyu</t>
        </is>
      </c>
      <c r="R221" t="inlineStr">
        <is>
          <t xml:space="preserve">BV </t>
        </is>
      </c>
      <c r="S221" t="n">
        <v>1</v>
      </c>
      <c r="T221" t="n">
        <v>1</v>
      </c>
      <c r="U221" t="inlineStr">
        <is>
          <t>1997-06-25</t>
        </is>
      </c>
      <c r="V221" t="inlineStr">
        <is>
          <t>1997-06-25</t>
        </is>
      </c>
      <c r="W221" t="inlineStr">
        <is>
          <t>1991-11-26</t>
        </is>
      </c>
      <c r="X221" t="inlineStr">
        <is>
          <t>1991-11-26</t>
        </is>
      </c>
      <c r="Y221" t="n">
        <v>15</v>
      </c>
      <c r="Z221" t="n">
        <v>11</v>
      </c>
      <c r="AA221" t="n">
        <v>182</v>
      </c>
      <c r="AB221" t="n">
        <v>1</v>
      </c>
      <c r="AC221" t="n">
        <v>3</v>
      </c>
      <c r="AD221" t="n">
        <v>0</v>
      </c>
      <c r="AE221" t="n">
        <v>17</v>
      </c>
      <c r="AF221" t="n">
        <v>0</v>
      </c>
      <c r="AG221" t="n">
        <v>6</v>
      </c>
      <c r="AH221" t="n">
        <v>0</v>
      </c>
      <c r="AI221" t="n">
        <v>3</v>
      </c>
      <c r="AJ221" t="n">
        <v>0</v>
      </c>
      <c r="AK221" t="n">
        <v>9</v>
      </c>
      <c r="AL221" t="n">
        <v>0</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HYPERLINK("https://creighton-primo.hosted.exlibrisgroup.com/primo-explore/search?tab=default_tab&amp;search_scope=EVERYTHING&amp;vid=01CRU&amp;lang=en_US&amp;offset=0&amp;query=any,contains,991000058599702656","Catalog Record")</f>
        <v/>
      </c>
      <c r="AT221">
        <f>HYPERLINK("http://www.worldcat.org/oclc/8719971","WorldCat Record")</f>
        <v/>
      </c>
      <c r="AU221" t="inlineStr">
        <is>
          <t>3265244:eng</t>
        </is>
      </c>
      <c r="AV221" t="inlineStr">
        <is>
          <t>8719971</t>
        </is>
      </c>
      <c r="AW221" t="inlineStr">
        <is>
          <t>991000058599702656</t>
        </is>
      </c>
      <c r="AX221" t="inlineStr">
        <is>
          <t>991000058599702656</t>
        </is>
      </c>
      <c r="AY221" t="inlineStr">
        <is>
          <t>2256108630002656</t>
        </is>
      </c>
      <c r="AZ221" t="inlineStr">
        <is>
          <t>BOOK</t>
        </is>
      </c>
      <c r="BC221" t="inlineStr">
        <is>
          <t>32285000837004</t>
        </is>
      </c>
      <c r="BD221" t="inlineStr">
        <is>
          <t>893695550</t>
        </is>
      </c>
    </row>
    <row r="222">
      <c r="A222" t="inlineStr">
        <is>
          <t>No</t>
        </is>
      </c>
      <c r="B222" t="inlineStr">
        <is>
          <t>BV213 .S94 1968</t>
        </is>
      </c>
      <c r="C222" t="inlineStr">
        <is>
          <t>0                      BV 0213000S  94          1968</t>
        </is>
      </c>
      <c r="D222" t="inlineStr">
        <is>
          <t>Prayer, the problem of dialogue with God / edited by Christopher F. Mooney.</t>
        </is>
      </c>
      <c r="F222" t="inlineStr">
        <is>
          <t>No</t>
        </is>
      </c>
      <c r="G222" t="inlineStr">
        <is>
          <t>1</t>
        </is>
      </c>
      <c r="H222" t="inlineStr">
        <is>
          <t>No</t>
        </is>
      </c>
      <c r="I222" t="inlineStr">
        <is>
          <t>No</t>
        </is>
      </c>
      <c r="J222" t="inlineStr">
        <is>
          <t>0</t>
        </is>
      </c>
      <c r="K222" t="inlineStr">
        <is>
          <t>Symposium on Prayer (1968 : Shrub Oak, N.Y.)</t>
        </is>
      </c>
      <c r="L222" t="inlineStr">
        <is>
          <t>Paramus, N.J. : Paulist Press, [1969]</t>
        </is>
      </c>
      <c r="M222" t="inlineStr">
        <is>
          <t>1969</t>
        </is>
      </c>
      <c r="O222" t="inlineStr">
        <is>
          <t>eng</t>
        </is>
      </c>
      <c r="P222" t="inlineStr">
        <is>
          <t>nju</t>
        </is>
      </c>
      <c r="Q222" t="inlineStr">
        <is>
          <t>Exploration books</t>
        </is>
      </c>
      <c r="R222" t="inlineStr">
        <is>
          <t xml:space="preserve">BV </t>
        </is>
      </c>
      <c r="S222" t="n">
        <v>5</v>
      </c>
      <c r="T222" t="n">
        <v>5</v>
      </c>
      <c r="U222" t="inlineStr">
        <is>
          <t>2006-07-23</t>
        </is>
      </c>
      <c r="V222" t="inlineStr">
        <is>
          <t>2006-07-23</t>
        </is>
      </c>
      <c r="W222" t="inlineStr">
        <is>
          <t>1991-11-26</t>
        </is>
      </c>
      <c r="X222" t="inlineStr">
        <is>
          <t>1991-11-26</t>
        </is>
      </c>
      <c r="Y222" t="n">
        <v>177</v>
      </c>
      <c r="Z222" t="n">
        <v>158</v>
      </c>
      <c r="AA222" t="n">
        <v>164</v>
      </c>
      <c r="AB222" t="n">
        <v>2</v>
      </c>
      <c r="AC222" t="n">
        <v>2</v>
      </c>
      <c r="AD222" t="n">
        <v>27</v>
      </c>
      <c r="AE222" t="n">
        <v>27</v>
      </c>
      <c r="AF222" t="n">
        <v>9</v>
      </c>
      <c r="AG222" t="n">
        <v>9</v>
      </c>
      <c r="AH222" t="n">
        <v>7</v>
      </c>
      <c r="AI222" t="n">
        <v>7</v>
      </c>
      <c r="AJ222" t="n">
        <v>21</v>
      </c>
      <c r="AK222" t="n">
        <v>21</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HYPERLINK("https://creighton-primo.hosted.exlibrisgroup.com/primo-explore/search?tab=default_tab&amp;search_scope=EVERYTHING&amp;vid=01CRU&amp;lang=en_US&amp;offset=0&amp;query=any,contains,991000115299702656","Catalog Record")</f>
        <v/>
      </c>
      <c r="AT222">
        <f>HYPERLINK("http://www.worldcat.org/oclc/49045","WorldCat Record")</f>
        <v/>
      </c>
      <c r="AU222" t="inlineStr">
        <is>
          <t>1811292501:eng</t>
        </is>
      </c>
      <c r="AV222" t="inlineStr">
        <is>
          <t>49045</t>
        </is>
      </c>
      <c r="AW222" t="inlineStr">
        <is>
          <t>991000115299702656</t>
        </is>
      </c>
      <c r="AX222" t="inlineStr">
        <is>
          <t>991000115299702656</t>
        </is>
      </c>
      <c r="AY222" t="inlineStr">
        <is>
          <t>2263595060002656</t>
        </is>
      </c>
      <c r="AZ222" t="inlineStr">
        <is>
          <t>BOOK</t>
        </is>
      </c>
      <c r="BC222" t="inlineStr">
        <is>
          <t>32285000837020</t>
        </is>
      </c>
      <c r="BD222" t="inlineStr">
        <is>
          <t>893527819</t>
        </is>
      </c>
    </row>
    <row r="223">
      <c r="A223" t="inlineStr">
        <is>
          <t>No</t>
        </is>
      </c>
      <c r="B223" t="inlineStr">
        <is>
          <t>BV214 .D25 1984</t>
        </is>
      </c>
      <c r="C223" t="inlineStr">
        <is>
          <t>0                      BV 0214000D  25          1984</t>
        </is>
      </c>
      <c r="D223" t="inlineStr">
        <is>
          <t>Simple prayer / by John Dalrymple.</t>
        </is>
      </c>
      <c r="F223" t="inlineStr">
        <is>
          <t>No</t>
        </is>
      </c>
      <c r="G223" t="inlineStr">
        <is>
          <t>1</t>
        </is>
      </c>
      <c r="H223" t="inlineStr">
        <is>
          <t>No</t>
        </is>
      </c>
      <c r="I223" t="inlineStr">
        <is>
          <t>No</t>
        </is>
      </c>
      <c r="J223" t="inlineStr">
        <is>
          <t>0</t>
        </is>
      </c>
      <c r="K223" t="inlineStr">
        <is>
          <t>Dalrymple, John.</t>
        </is>
      </c>
      <c r="L223" t="inlineStr">
        <is>
          <t>Wilmington, Del. : Michael Glazier, c1984.</t>
        </is>
      </c>
      <c r="M223" t="inlineStr">
        <is>
          <t>1984</t>
        </is>
      </c>
      <c r="O223" t="inlineStr">
        <is>
          <t>eng</t>
        </is>
      </c>
      <c r="P223" t="inlineStr">
        <is>
          <t>deu</t>
        </is>
      </c>
      <c r="Q223" t="inlineStr">
        <is>
          <t>Ways of prayer, 0894532820 ; v.9</t>
        </is>
      </c>
      <c r="R223" t="inlineStr">
        <is>
          <t xml:space="preserve">BV </t>
        </is>
      </c>
      <c r="S223" t="n">
        <v>2</v>
      </c>
      <c r="T223" t="n">
        <v>2</v>
      </c>
      <c r="U223" t="inlineStr">
        <is>
          <t>2005-07-12</t>
        </is>
      </c>
      <c r="V223" t="inlineStr">
        <is>
          <t>2005-07-12</t>
        </is>
      </c>
      <c r="W223" t="inlineStr">
        <is>
          <t>1990-07-30</t>
        </is>
      </c>
      <c r="X223" t="inlineStr">
        <is>
          <t>1990-07-30</t>
        </is>
      </c>
      <c r="Y223" t="n">
        <v>93</v>
      </c>
      <c r="Z223" t="n">
        <v>81</v>
      </c>
      <c r="AA223" t="n">
        <v>182</v>
      </c>
      <c r="AB223" t="n">
        <v>1</v>
      </c>
      <c r="AC223" t="n">
        <v>2</v>
      </c>
      <c r="AD223" t="n">
        <v>8</v>
      </c>
      <c r="AE223" t="n">
        <v>10</v>
      </c>
      <c r="AF223" t="n">
        <v>2</v>
      </c>
      <c r="AG223" t="n">
        <v>3</v>
      </c>
      <c r="AH223" t="n">
        <v>4</v>
      </c>
      <c r="AI223" t="n">
        <v>4</v>
      </c>
      <c r="AJ223" t="n">
        <v>5</v>
      </c>
      <c r="AK223" t="n">
        <v>5</v>
      </c>
      <c r="AL223" t="n">
        <v>0</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HYPERLINK("https://creighton-primo.hosted.exlibrisgroup.com/primo-explore/search?tab=default_tab&amp;search_scope=EVERYTHING&amp;vid=01CRU&amp;lang=en_US&amp;offset=0&amp;query=any,contains,991000422209702656","Catalog Record")</f>
        <v/>
      </c>
      <c r="AT223">
        <f>HYPERLINK("http://www.worldcat.org/oclc/10750452","WorldCat Record")</f>
        <v/>
      </c>
      <c r="AU223" t="inlineStr">
        <is>
          <t>2793115:eng</t>
        </is>
      </c>
      <c r="AV223" t="inlineStr">
        <is>
          <t>10750452</t>
        </is>
      </c>
      <c r="AW223" t="inlineStr">
        <is>
          <t>991000422209702656</t>
        </is>
      </c>
      <c r="AX223" t="inlineStr">
        <is>
          <t>991000422209702656</t>
        </is>
      </c>
      <c r="AY223" t="inlineStr">
        <is>
          <t>2265667920002656</t>
        </is>
      </c>
      <c r="AZ223" t="inlineStr">
        <is>
          <t>BOOK</t>
        </is>
      </c>
      <c r="BB223" t="inlineStr">
        <is>
          <t>9780894533013</t>
        </is>
      </c>
      <c r="BC223" t="inlineStr">
        <is>
          <t>32285000228998</t>
        </is>
      </c>
      <c r="BD223" t="inlineStr">
        <is>
          <t>893695815</t>
        </is>
      </c>
    </row>
    <row r="224">
      <c r="A224" t="inlineStr">
        <is>
          <t>No</t>
        </is>
      </c>
      <c r="B224" t="inlineStr">
        <is>
          <t>BV215 .B74 1985</t>
        </is>
      </c>
      <c r="C224" t="inlineStr">
        <is>
          <t>0                      BV 0215000B  74          1985</t>
        </is>
      </c>
      <c r="D224" t="inlineStr">
        <is>
          <t>A voice over the water : an invitation to prayer / William Breault.</t>
        </is>
      </c>
      <c r="F224" t="inlineStr">
        <is>
          <t>No</t>
        </is>
      </c>
      <c r="G224" t="inlineStr">
        <is>
          <t>1</t>
        </is>
      </c>
      <c r="H224" t="inlineStr">
        <is>
          <t>No</t>
        </is>
      </c>
      <c r="I224" t="inlineStr">
        <is>
          <t>No</t>
        </is>
      </c>
      <c r="J224" t="inlineStr">
        <is>
          <t>0</t>
        </is>
      </c>
      <c r="K224" t="inlineStr">
        <is>
          <t>Breault, William.</t>
        </is>
      </c>
      <c r="L224" t="inlineStr">
        <is>
          <t>Notre Dane, Ind. : Ave Marie Press, c1985.</t>
        </is>
      </c>
      <c r="M224" t="inlineStr">
        <is>
          <t>1985</t>
        </is>
      </c>
      <c r="O224" t="inlineStr">
        <is>
          <t>eng</t>
        </is>
      </c>
      <c r="P224" t="inlineStr">
        <is>
          <t>inu</t>
        </is>
      </c>
      <c r="R224" t="inlineStr">
        <is>
          <t xml:space="preserve">BV </t>
        </is>
      </c>
      <c r="S224" t="n">
        <v>4</v>
      </c>
      <c r="T224" t="n">
        <v>4</v>
      </c>
      <c r="U224" t="inlineStr">
        <is>
          <t>2001-08-27</t>
        </is>
      </c>
      <c r="V224" t="inlineStr">
        <is>
          <t>2001-08-27</t>
        </is>
      </c>
      <c r="W224" t="inlineStr">
        <is>
          <t>1991-11-26</t>
        </is>
      </c>
      <c r="X224" t="inlineStr">
        <is>
          <t>1991-11-26</t>
        </is>
      </c>
      <c r="Y224" t="n">
        <v>109</v>
      </c>
      <c r="Z224" t="n">
        <v>96</v>
      </c>
      <c r="AA224" t="n">
        <v>101</v>
      </c>
      <c r="AB224" t="n">
        <v>2</v>
      </c>
      <c r="AC224" t="n">
        <v>2</v>
      </c>
      <c r="AD224" t="n">
        <v>9</v>
      </c>
      <c r="AE224" t="n">
        <v>9</v>
      </c>
      <c r="AF224" t="n">
        <v>2</v>
      </c>
      <c r="AG224" t="n">
        <v>2</v>
      </c>
      <c r="AH224" t="n">
        <v>1</v>
      </c>
      <c r="AI224" t="n">
        <v>1</v>
      </c>
      <c r="AJ224" t="n">
        <v>8</v>
      </c>
      <c r="AK224" t="n">
        <v>8</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HYPERLINK("https://creighton-primo.hosted.exlibrisgroup.com/primo-explore/search?tab=default_tab&amp;search_scope=EVERYTHING&amp;vid=01CRU&amp;lang=en_US&amp;offset=0&amp;query=any,contains,991000616779702656","Catalog Record")</f>
        <v/>
      </c>
      <c r="AT224">
        <f>HYPERLINK("http://www.worldcat.org/oclc/12345364","WorldCat Record")</f>
        <v/>
      </c>
      <c r="AU224" t="inlineStr">
        <is>
          <t>5164588367:eng</t>
        </is>
      </c>
      <c r="AV224" t="inlineStr">
        <is>
          <t>12345364</t>
        </is>
      </c>
      <c r="AW224" t="inlineStr">
        <is>
          <t>991000616779702656</t>
        </is>
      </c>
      <c r="AX224" t="inlineStr">
        <is>
          <t>991000616779702656</t>
        </is>
      </c>
      <c r="AY224" t="inlineStr">
        <is>
          <t>2261942460002656</t>
        </is>
      </c>
      <c r="AZ224" t="inlineStr">
        <is>
          <t>BOOK</t>
        </is>
      </c>
      <c r="BC224" t="inlineStr">
        <is>
          <t>32285000837061</t>
        </is>
      </c>
      <c r="BD224" t="inlineStr">
        <is>
          <t>893243421</t>
        </is>
      </c>
    </row>
    <row r="225">
      <c r="A225" t="inlineStr">
        <is>
          <t>No</t>
        </is>
      </c>
      <c r="B225" t="inlineStr">
        <is>
          <t>BV215 .C3313 1983</t>
        </is>
      </c>
      <c r="C225" t="inlineStr">
        <is>
          <t>0                      BV 0215000C  3313        1983</t>
        </is>
      </c>
      <c r="D225" t="inlineStr">
        <is>
          <t>Being present to God : letters on prayer / by Henri Caffarel ; translated by Angeline Bouchard.</t>
        </is>
      </c>
      <c r="F225" t="inlineStr">
        <is>
          <t>No</t>
        </is>
      </c>
      <c r="G225" t="inlineStr">
        <is>
          <t>1</t>
        </is>
      </c>
      <c r="H225" t="inlineStr">
        <is>
          <t>No</t>
        </is>
      </c>
      <c r="I225" t="inlineStr">
        <is>
          <t>No</t>
        </is>
      </c>
      <c r="J225" t="inlineStr">
        <is>
          <t>0</t>
        </is>
      </c>
      <c r="K225" t="inlineStr">
        <is>
          <t>Caffarel, Henri.</t>
        </is>
      </c>
      <c r="L225" t="inlineStr">
        <is>
          <t>Staten Island, N.Y. : Alba House, c1983.</t>
        </is>
      </c>
      <c r="M225" t="inlineStr">
        <is>
          <t>1983</t>
        </is>
      </c>
      <c r="O225" t="inlineStr">
        <is>
          <t>eng</t>
        </is>
      </c>
      <c r="P225" t="inlineStr">
        <is>
          <t>nyu</t>
        </is>
      </c>
      <c r="R225" t="inlineStr">
        <is>
          <t xml:space="preserve">BV </t>
        </is>
      </c>
      <c r="S225" t="n">
        <v>2</v>
      </c>
      <c r="T225" t="n">
        <v>2</v>
      </c>
      <c r="U225" t="inlineStr">
        <is>
          <t>2002-07-15</t>
        </is>
      </c>
      <c r="V225" t="inlineStr">
        <is>
          <t>2002-07-15</t>
        </is>
      </c>
      <c r="W225" t="inlineStr">
        <is>
          <t>1991-11-06</t>
        </is>
      </c>
      <c r="X225" t="inlineStr">
        <is>
          <t>1991-11-06</t>
        </is>
      </c>
      <c r="Y225" t="n">
        <v>41</v>
      </c>
      <c r="Z225" t="n">
        <v>39</v>
      </c>
      <c r="AA225" t="n">
        <v>39</v>
      </c>
      <c r="AB225" t="n">
        <v>1</v>
      </c>
      <c r="AC225" t="n">
        <v>1</v>
      </c>
      <c r="AD225" t="n">
        <v>5</v>
      </c>
      <c r="AE225" t="n">
        <v>5</v>
      </c>
      <c r="AF225" t="n">
        <v>1</v>
      </c>
      <c r="AG225" t="n">
        <v>1</v>
      </c>
      <c r="AH225" t="n">
        <v>1</v>
      </c>
      <c r="AI225" t="n">
        <v>1</v>
      </c>
      <c r="AJ225" t="n">
        <v>4</v>
      </c>
      <c r="AK225" t="n">
        <v>4</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HYPERLINK("https://creighton-primo.hosted.exlibrisgroup.com/primo-explore/search?tab=default_tab&amp;search_scope=EVERYTHING&amp;vid=01CRU&amp;lang=en_US&amp;offset=0&amp;query=any,contains,991000251259702656","Catalog Record")</f>
        <v/>
      </c>
      <c r="AT225">
        <f>HYPERLINK("http://www.worldcat.org/oclc/9758147","WorldCat Record")</f>
        <v/>
      </c>
      <c r="AU225" t="inlineStr">
        <is>
          <t>1813176918:eng</t>
        </is>
      </c>
      <c r="AV225" t="inlineStr">
        <is>
          <t>9758147</t>
        </is>
      </c>
      <c r="AW225" t="inlineStr">
        <is>
          <t>991000251259702656</t>
        </is>
      </c>
      <c r="AX225" t="inlineStr">
        <is>
          <t>991000251259702656</t>
        </is>
      </c>
      <c r="AY225" t="inlineStr">
        <is>
          <t>2256936010002656</t>
        </is>
      </c>
      <c r="AZ225" t="inlineStr">
        <is>
          <t>BOOK</t>
        </is>
      </c>
      <c r="BB225" t="inlineStr">
        <is>
          <t>9780818904622</t>
        </is>
      </c>
      <c r="BC225" t="inlineStr">
        <is>
          <t>32285000798537</t>
        </is>
      </c>
      <c r="BD225" t="inlineStr">
        <is>
          <t>893771503</t>
        </is>
      </c>
    </row>
    <row r="226">
      <c r="A226" t="inlineStr">
        <is>
          <t>No</t>
        </is>
      </c>
      <c r="B226" t="inlineStr">
        <is>
          <t>BV215 .C365 1987</t>
        </is>
      </c>
      <c r="C226" t="inlineStr">
        <is>
          <t>0                      BV 0215000C  365         1987</t>
        </is>
      </c>
      <c r="D226" t="inlineStr">
        <is>
          <t>Prayer perspectives / by Edward Carter.</t>
        </is>
      </c>
      <c r="F226" t="inlineStr">
        <is>
          <t>No</t>
        </is>
      </c>
      <c r="G226" t="inlineStr">
        <is>
          <t>1</t>
        </is>
      </c>
      <c r="H226" t="inlineStr">
        <is>
          <t>No</t>
        </is>
      </c>
      <c r="I226" t="inlineStr">
        <is>
          <t>No</t>
        </is>
      </c>
      <c r="J226" t="inlineStr">
        <is>
          <t>0</t>
        </is>
      </c>
      <c r="K226" t="inlineStr">
        <is>
          <t>Carter, Edward, 1929-</t>
        </is>
      </c>
      <c r="L226" t="inlineStr">
        <is>
          <t>New York : Alba House, c1987.</t>
        </is>
      </c>
      <c r="M226" t="inlineStr">
        <is>
          <t>1987</t>
        </is>
      </c>
      <c r="O226" t="inlineStr">
        <is>
          <t>eng</t>
        </is>
      </c>
      <c r="P226" t="inlineStr">
        <is>
          <t>nyu</t>
        </is>
      </c>
      <c r="R226" t="inlineStr">
        <is>
          <t xml:space="preserve">BV </t>
        </is>
      </c>
      <c r="S226" t="n">
        <v>9</v>
      </c>
      <c r="T226" t="n">
        <v>9</v>
      </c>
      <c r="U226" t="inlineStr">
        <is>
          <t>2006-07-23</t>
        </is>
      </c>
      <c r="V226" t="inlineStr">
        <is>
          <t>2006-07-23</t>
        </is>
      </c>
      <c r="W226" t="inlineStr">
        <is>
          <t>1991-11-26</t>
        </is>
      </c>
      <c r="X226" t="inlineStr">
        <is>
          <t>1991-11-26</t>
        </is>
      </c>
      <c r="Y226" t="n">
        <v>36</v>
      </c>
      <c r="Z226" t="n">
        <v>33</v>
      </c>
      <c r="AA226" t="n">
        <v>33</v>
      </c>
      <c r="AB226" t="n">
        <v>1</v>
      </c>
      <c r="AC226" t="n">
        <v>1</v>
      </c>
      <c r="AD226" t="n">
        <v>4</v>
      </c>
      <c r="AE226" t="n">
        <v>4</v>
      </c>
      <c r="AF226" t="n">
        <v>0</v>
      </c>
      <c r="AG226" t="n">
        <v>0</v>
      </c>
      <c r="AH226" t="n">
        <v>1</v>
      </c>
      <c r="AI226" t="n">
        <v>1</v>
      </c>
      <c r="AJ226" t="n">
        <v>3</v>
      </c>
      <c r="AK226" t="n">
        <v>3</v>
      </c>
      <c r="AL226" t="n">
        <v>0</v>
      </c>
      <c r="AM226" t="n">
        <v>0</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HYPERLINK("https://creighton-primo.hosted.exlibrisgroup.com/primo-explore/search?tab=default_tab&amp;search_scope=EVERYTHING&amp;vid=01CRU&amp;lang=en_US&amp;offset=0&amp;query=any,contains,991000952859702656","Catalog Record")</f>
        <v/>
      </c>
      <c r="AT226">
        <f>HYPERLINK("http://www.worldcat.org/oclc/14692684","WorldCat Record")</f>
        <v/>
      </c>
      <c r="AU226" t="inlineStr">
        <is>
          <t>9080575:eng</t>
        </is>
      </c>
      <c r="AV226" t="inlineStr">
        <is>
          <t>14692684</t>
        </is>
      </c>
      <c r="AW226" t="inlineStr">
        <is>
          <t>991000952859702656</t>
        </is>
      </c>
      <c r="AX226" t="inlineStr">
        <is>
          <t>991000952859702656</t>
        </is>
      </c>
      <c r="AY226" t="inlineStr">
        <is>
          <t>2257733970002656</t>
        </is>
      </c>
      <c r="AZ226" t="inlineStr">
        <is>
          <t>BOOK</t>
        </is>
      </c>
      <c r="BB226" t="inlineStr">
        <is>
          <t>9780818905131</t>
        </is>
      </c>
      <c r="BC226" t="inlineStr">
        <is>
          <t>32285000837079</t>
        </is>
      </c>
      <c r="BD226" t="inlineStr">
        <is>
          <t>893596060</t>
        </is>
      </c>
    </row>
    <row r="227">
      <c r="A227" t="inlineStr">
        <is>
          <t>No</t>
        </is>
      </c>
      <c r="B227" t="inlineStr">
        <is>
          <t>BV215 .C38</t>
        </is>
      </c>
      <c r="C227" t="inlineStr">
        <is>
          <t>0                      BV 0215000C  38</t>
        </is>
      </c>
      <c r="D227" t="inlineStr">
        <is>
          <t>The experience of praying / Sean Caulfield.</t>
        </is>
      </c>
      <c r="F227" t="inlineStr">
        <is>
          <t>No</t>
        </is>
      </c>
      <c r="G227" t="inlineStr">
        <is>
          <t>1</t>
        </is>
      </c>
      <c r="H227" t="inlineStr">
        <is>
          <t>No</t>
        </is>
      </c>
      <c r="I227" t="inlineStr">
        <is>
          <t>No</t>
        </is>
      </c>
      <c r="J227" t="inlineStr">
        <is>
          <t>0</t>
        </is>
      </c>
      <c r="K227" t="inlineStr">
        <is>
          <t>Caulfield, Sean.</t>
        </is>
      </c>
      <c r="L227" t="inlineStr">
        <is>
          <t>New York : Paulist Press, c1980.</t>
        </is>
      </c>
      <c r="M227" t="inlineStr">
        <is>
          <t>1980</t>
        </is>
      </c>
      <c r="O227" t="inlineStr">
        <is>
          <t>eng</t>
        </is>
      </c>
      <c r="P227" t="inlineStr">
        <is>
          <t>nyu</t>
        </is>
      </c>
      <c r="R227" t="inlineStr">
        <is>
          <t xml:space="preserve">BV </t>
        </is>
      </c>
      <c r="S227" t="n">
        <v>4</v>
      </c>
      <c r="T227" t="n">
        <v>4</v>
      </c>
      <c r="U227" t="inlineStr">
        <is>
          <t>2005-07-12</t>
        </is>
      </c>
      <c r="V227" t="inlineStr">
        <is>
          <t>2005-07-12</t>
        </is>
      </c>
      <c r="W227" t="inlineStr">
        <is>
          <t>1991-11-26</t>
        </is>
      </c>
      <c r="X227" t="inlineStr">
        <is>
          <t>1991-11-26</t>
        </is>
      </c>
      <c r="Y227" t="n">
        <v>164</v>
      </c>
      <c r="Z227" t="n">
        <v>144</v>
      </c>
      <c r="AA227" t="n">
        <v>149</v>
      </c>
      <c r="AB227" t="n">
        <v>2</v>
      </c>
      <c r="AC227" t="n">
        <v>2</v>
      </c>
      <c r="AD227" t="n">
        <v>14</v>
      </c>
      <c r="AE227" t="n">
        <v>14</v>
      </c>
      <c r="AF227" t="n">
        <v>2</v>
      </c>
      <c r="AG227" t="n">
        <v>2</v>
      </c>
      <c r="AH227" t="n">
        <v>6</v>
      </c>
      <c r="AI227" t="n">
        <v>6</v>
      </c>
      <c r="AJ227" t="n">
        <v>9</v>
      </c>
      <c r="AK227" t="n">
        <v>9</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HYPERLINK("https://creighton-primo.hosted.exlibrisgroup.com/primo-explore/search?tab=default_tab&amp;search_scope=EVERYTHING&amp;vid=01CRU&amp;lang=en_US&amp;offset=0&amp;query=any,contains,991004954629702656","Catalog Record")</f>
        <v/>
      </c>
      <c r="AT227">
        <f>HYPERLINK("http://www.worldcat.org/oclc/6277177","WorldCat Record")</f>
        <v/>
      </c>
      <c r="AU227" t="inlineStr">
        <is>
          <t>2225415855:eng</t>
        </is>
      </c>
      <c r="AV227" t="inlineStr">
        <is>
          <t>6277177</t>
        </is>
      </c>
      <c r="AW227" t="inlineStr">
        <is>
          <t>991004954629702656</t>
        </is>
      </c>
      <c r="AX227" t="inlineStr">
        <is>
          <t>991004954629702656</t>
        </is>
      </c>
      <c r="AY227" t="inlineStr">
        <is>
          <t>2268781390002656</t>
        </is>
      </c>
      <c r="AZ227" t="inlineStr">
        <is>
          <t>BOOK</t>
        </is>
      </c>
      <c r="BB227" t="inlineStr">
        <is>
          <t>9780809103072</t>
        </is>
      </c>
      <c r="BC227" t="inlineStr">
        <is>
          <t>32285000837087</t>
        </is>
      </c>
      <c r="BD227" t="inlineStr">
        <is>
          <t>893782840</t>
        </is>
      </c>
    </row>
    <row r="228">
      <c r="A228" t="inlineStr">
        <is>
          <t>No</t>
        </is>
      </c>
      <c r="B228" t="inlineStr">
        <is>
          <t>BV215 .C3913 1998</t>
        </is>
      </c>
      <c r="C228" t="inlineStr">
        <is>
          <t>0                      BV 0215000C  3913        1998</t>
        </is>
      </c>
      <c r="D228" t="inlineStr">
        <is>
          <t>A treatise on prayer from the heart : a Christian mystical tradition recovered for all / Jean Pierre Caussade ; translated, edited, and introducted by Robert M. McKeon.</t>
        </is>
      </c>
      <c r="F228" t="inlineStr">
        <is>
          <t>No</t>
        </is>
      </c>
      <c r="G228" t="inlineStr">
        <is>
          <t>1</t>
        </is>
      </c>
      <c r="H228" t="inlineStr">
        <is>
          <t>No</t>
        </is>
      </c>
      <c r="I228" t="inlineStr">
        <is>
          <t>No</t>
        </is>
      </c>
      <c r="J228" t="inlineStr">
        <is>
          <t>0</t>
        </is>
      </c>
      <c r="K228" t="inlineStr">
        <is>
          <t>Caussade, Jean Pierre de, -1751.</t>
        </is>
      </c>
      <c r="L228" t="inlineStr">
        <is>
          <t>St. Louis, MO : Institute of Jesuit Sources, c1998.</t>
        </is>
      </c>
      <c r="M228" t="inlineStr">
        <is>
          <t>1998</t>
        </is>
      </c>
      <c r="O228" t="inlineStr">
        <is>
          <t>eng</t>
        </is>
      </c>
      <c r="P228" t="inlineStr">
        <is>
          <t>mou</t>
        </is>
      </c>
      <c r="Q228" t="inlineStr">
        <is>
          <t>Series I--Jesuit primary sources, in English translations ; no. 17</t>
        </is>
      </c>
      <c r="R228" t="inlineStr">
        <is>
          <t xml:space="preserve">BV </t>
        </is>
      </c>
      <c r="S228" t="n">
        <v>7</v>
      </c>
      <c r="T228" t="n">
        <v>7</v>
      </c>
      <c r="U228" t="inlineStr">
        <is>
          <t>2005-07-29</t>
        </is>
      </c>
      <c r="V228" t="inlineStr">
        <is>
          <t>2005-07-29</t>
        </is>
      </c>
      <c r="W228" t="inlineStr">
        <is>
          <t>2003-10-06</t>
        </is>
      </c>
      <c r="X228" t="inlineStr">
        <is>
          <t>2003-10-06</t>
        </is>
      </c>
      <c r="Y228" t="n">
        <v>71</v>
      </c>
      <c r="Z228" t="n">
        <v>60</v>
      </c>
      <c r="AA228" t="n">
        <v>60</v>
      </c>
      <c r="AB228" t="n">
        <v>1</v>
      </c>
      <c r="AC228" t="n">
        <v>1</v>
      </c>
      <c r="AD228" t="n">
        <v>15</v>
      </c>
      <c r="AE228" t="n">
        <v>15</v>
      </c>
      <c r="AF228" t="n">
        <v>5</v>
      </c>
      <c r="AG228" t="n">
        <v>5</v>
      </c>
      <c r="AH228" t="n">
        <v>2</v>
      </c>
      <c r="AI228" t="n">
        <v>2</v>
      </c>
      <c r="AJ228" t="n">
        <v>15</v>
      </c>
      <c r="AK228" t="n">
        <v>15</v>
      </c>
      <c r="AL228" t="n">
        <v>0</v>
      </c>
      <c r="AM228" t="n">
        <v>0</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HYPERLINK("https://creighton-primo.hosted.exlibrisgroup.com/primo-explore/search?tab=default_tab&amp;search_scope=EVERYTHING&amp;vid=01CRU&amp;lang=en_US&amp;offset=0&amp;query=any,contains,991004100639702656","Catalog Record")</f>
        <v/>
      </c>
      <c r="AT228">
        <f>HYPERLINK("http://www.worldcat.org/oclc/40096361","WorldCat Record")</f>
        <v/>
      </c>
      <c r="AU228" t="inlineStr">
        <is>
          <t>26068106:eng</t>
        </is>
      </c>
      <c r="AV228" t="inlineStr">
        <is>
          <t>40096361</t>
        </is>
      </c>
      <c r="AW228" t="inlineStr">
        <is>
          <t>991004100639702656</t>
        </is>
      </c>
      <c r="AX228" t="inlineStr">
        <is>
          <t>991004100639702656</t>
        </is>
      </c>
      <c r="AY228" t="inlineStr">
        <is>
          <t>2271709590002656</t>
        </is>
      </c>
      <c r="AZ228" t="inlineStr">
        <is>
          <t>BOOK</t>
        </is>
      </c>
      <c r="BB228" t="inlineStr">
        <is>
          <t>9781880810316</t>
        </is>
      </c>
      <c r="BC228" t="inlineStr">
        <is>
          <t>32285004786678</t>
        </is>
      </c>
      <c r="BD228" t="inlineStr">
        <is>
          <t>893525656</t>
        </is>
      </c>
    </row>
    <row r="229">
      <c r="A229" t="inlineStr">
        <is>
          <t>No</t>
        </is>
      </c>
      <c r="B229" t="inlineStr">
        <is>
          <t>BV215 .C56</t>
        </is>
      </c>
      <c r="C229" t="inlineStr">
        <is>
          <t>0                      BV 0215000C  56</t>
        </is>
      </c>
      <c r="D229" t="inlineStr">
        <is>
          <t>Make space, make symbols : a personal journey into prayer / Keith Clark.</t>
        </is>
      </c>
      <c r="F229" t="inlineStr">
        <is>
          <t>No</t>
        </is>
      </c>
      <c r="G229" t="inlineStr">
        <is>
          <t>1</t>
        </is>
      </c>
      <c r="H229" t="inlineStr">
        <is>
          <t>No</t>
        </is>
      </c>
      <c r="I229" t="inlineStr">
        <is>
          <t>No</t>
        </is>
      </c>
      <c r="J229" t="inlineStr">
        <is>
          <t>0</t>
        </is>
      </c>
      <c r="K229" t="inlineStr">
        <is>
          <t>Clark, Keith.</t>
        </is>
      </c>
      <c r="L229" t="inlineStr">
        <is>
          <t>Notre Dame, Ind. : Ave Maria Press, c1979.</t>
        </is>
      </c>
      <c r="M229" t="inlineStr">
        <is>
          <t>1979</t>
        </is>
      </c>
      <c r="O229" t="inlineStr">
        <is>
          <t>eng</t>
        </is>
      </c>
      <c r="P229" t="inlineStr">
        <is>
          <t>inu</t>
        </is>
      </c>
      <c r="R229" t="inlineStr">
        <is>
          <t xml:space="preserve">BV </t>
        </is>
      </c>
      <c r="S229" t="n">
        <v>4</v>
      </c>
      <c r="T229" t="n">
        <v>4</v>
      </c>
      <c r="U229" t="inlineStr">
        <is>
          <t>2003-07-07</t>
        </is>
      </c>
      <c r="V229" t="inlineStr">
        <is>
          <t>2003-07-07</t>
        </is>
      </c>
      <c r="W229" t="inlineStr">
        <is>
          <t>1991-11-26</t>
        </is>
      </c>
      <c r="X229" t="inlineStr">
        <is>
          <t>1991-11-26</t>
        </is>
      </c>
      <c r="Y229" t="n">
        <v>138</v>
      </c>
      <c r="Z229" t="n">
        <v>116</v>
      </c>
      <c r="AA229" t="n">
        <v>121</v>
      </c>
      <c r="AB229" t="n">
        <v>2</v>
      </c>
      <c r="AC229" t="n">
        <v>2</v>
      </c>
      <c r="AD229" t="n">
        <v>15</v>
      </c>
      <c r="AE229" t="n">
        <v>15</v>
      </c>
      <c r="AF229" t="n">
        <v>3</v>
      </c>
      <c r="AG229" t="n">
        <v>3</v>
      </c>
      <c r="AH229" t="n">
        <v>3</v>
      </c>
      <c r="AI229" t="n">
        <v>3</v>
      </c>
      <c r="AJ229" t="n">
        <v>13</v>
      </c>
      <c r="AK229" t="n">
        <v>13</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HYPERLINK("https://creighton-primo.hosted.exlibrisgroup.com/primo-explore/search?tab=default_tab&amp;search_scope=EVERYTHING&amp;vid=01CRU&amp;lang=en_US&amp;offset=0&amp;query=any,contains,991004718749702656","Catalog Record")</f>
        <v/>
      </c>
      <c r="AT229">
        <f>HYPERLINK("http://www.worldcat.org/oclc/4788028","WorldCat Record")</f>
        <v/>
      </c>
      <c r="AU229" t="inlineStr">
        <is>
          <t>2288750329:eng</t>
        </is>
      </c>
      <c r="AV229" t="inlineStr">
        <is>
          <t>4788028</t>
        </is>
      </c>
      <c r="AW229" t="inlineStr">
        <is>
          <t>991004718749702656</t>
        </is>
      </c>
      <c r="AX229" t="inlineStr">
        <is>
          <t>991004718749702656</t>
        </is>
      </c>
      <c r="AY229" t="inlineStr">
        <is>
          <t>2256867570002656</t>
        </is>
      </c>
      <c r="AZ229" t="inlineStr">
        <is>
          <t>BOOK</t>
        </is>
      </c>
      <c r="BB229" t="inlineStr">
        <is>
          <t>9780877931720</t>
        </is>
      </c>
      <c r="BC229" t="inlineStr">
        <is>
          <t>32285000837095</t>
        </is>
      </c>
      <c r="BD229" t="inlineStr">
        <is>
          <t>893706759</t>
        </is>
      </c>
    </row>
    <row r="230">
      <c r="A230" t="inlineStr">
        <is>
          <t>No</t>
        </is>
      </c>
      <c r="B230" t="inlineStr">
        <is>
          <t>BV215 .D33 1983</t>
        </is>
      </c>
      <c r="C230" t="inlineStr">
        <is>
          <t>0                      BV 0215000D  33          1983</t>
        </is>
      </c>
      <c r="D230" t="inlineStr">
        <is>
          <t>Anyone can pray : a guide to methods of Christian prayer / Graeme J. Davidson with Mary MacDonald ; illustrations by William Hart McNichols.</t>
        </is>
      </c>
      <c r="F230" t="inlineStr">
        <is>
          <t>No</t>
        </is>
      </c>
      <c r="G230" t="inlineStr">
        <is>
          <t>1</t>
        </is>
      </c>
      <c r="H230" t="inlineStr">
        <is>
          <t>No</t>
        </is>
      </c>
      <c r="I230" t="inlineStr">
        <is>
          <t>No</t>
        </is>
      </c>
      <c r="J230" t="inlineStr">
        <is>
          <t>0</t>
        </is>
      </c>
      <c r="K230" t="inlineStr">
        <is>
          <t>Davidson, Graeme J.</t>
        </is>
      </c>
      <c r="L230" t="inlineStr">
        <is>
          <t>New York : Paulist Press, c1983.</t>
        </is>
      </c>
      <c r="M230" t="inlineStr">
        <is>
          <t>1983</t>
        </is>
      </c>
      <c r="O230" t="inlineStr">
        <is>
          <t>eng</t>
        </is>
      </c>
      <c r="P230" t="inlineStr">
        <is>
          <t>nyu</t>
        </is>
      </c>
      <c r="R230" t="inlineStr">
        <is>
          <t xml:space="preserve">BV </t>
        </is>
      </c>
      <c r="S230" t="n">
        <v>9</v>
      </c>
      <c r="T230" t="n">
        <v>9</v>
      </c>
      <c r="U230" t="inlineStr">
        <is>
          <t>1997-07-19</t>
        </is>
      </c>
      <c r="V230" t="inlineStr">
        <is>
          <t>1997-07-19</t>
        </is>
      </c>
      <c r="W230" t="inlineStr">
        <is>
          <t>1991-11-26</t>
        </is>
      </c>
      <c r="X230" t="inlineStr">
        <is>
          <t>1991-11-26</t>
        </is>
      </c>
      <c r="Y230" t="n">
        <v>122</v>
      </c>
      <c r="Z230" t="n">
        <v>105</v>
      </c>
      <c r="AA230" t="n">
        <v>105</v>
      </c>
      <c r="AB230" t="n">
        <v>1</v>
      </c>
      <c r="AC230" t="n">
        <v>1</v>
      </c>
      <c r="AD230" t="n">
        <v>9</v>
      </c>
      <c r="AE230" t="n">
        <v>9</v>
      </c>
      <c r="AF230" t="n">
        <v>2</v>
      </c>
      <c r="AG230" t="n">
        <v>2</v>
      </c>
      <c r="AH230" t="n">
        <v>4</v>
      </c>
      <c r="AI230" t="n">
        <v>4</v>
      </c>
      <c r="AJ230" t="n">
        <v>4</v>
      </c>
      <c r="AK230" t="n">
        <v>4</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HYPERLINK("https://creighton-primo.hosted.exlibrisgroup.com/primo-explore/search?tab=default_tab&amp;search_scope=EVERYTHING&amp;vid=01CRU&amp;lang=en_US&amp;offset=0&amp;query=any,contains,991000309909702656","Catalog Record")</f>
        <v/>
      </c>
      <c r="AT230">
        <f>HYPERLINK("http://www.worldcat.org/oclc/10084102","WorldCat Record")</f>
        <v/>
      </c>
      <c r="AU230" t="inlineStr">
        <is>
          <t>2213708695:eng</t>
        </is>
      </c>
      <c r="AV230" t="inlineStr">
        <is>
          <t>10084102</t>
        </is>
      </c>
      <c r="AW230" t="inlineStr">
        <is>
          <t>991000309909702656</t>
        </is>
      </c>
      <c r="AX230" t="inlineStr">
        <is>
          <t>991000309909702656</t>
        </is>
      </c>
      <c r="AY230" t="inlineStr">
        <is>
          <t>2262808200002656</t>
        </is>
      </c>
      <c r="AZ230" t="inlineStr">
        <is>
          <t>BOOK</t>
        </is>
      </c>
      <c r="BB230" t="inlineStr">
        <is>
          <t>9780809125425</t>
        </is>
      </c>
      <c r="BC230" t="inlineStr">
        <is>
          <t>32285000837103</t>
        </is>
      </c>
      <c r="BD230" t="inlineStr">
        <is>
          <t>893320962</t>
        </is>
      </c>
    </row>
    <row r="231">
      <c r="A231" t="inlineStr">
        <is>
          <t>No</t>
        </is>
      </c>
      <c r="B231" t="inlineStr">
        <is>
          <t>BV215 .G5 1989</t>
        </is>
      </c>
      <c r="C231" t="inlineStr">
        <is>
          <t>0                      BV 0215000G  5           1989</t>
        </is>
      </c>
      <c r="D231" t="inlineStr">
        <is>
          <t>Pray as you can : discovering your own prayer ways / Jean Gill.</t>
        </is>
      </c>
      <c r="F231" t="inlineStr">
        <is>
          <t>No</t>
        </is>
      </c>
      <c r="G231" t="inlineStr">
        <is>
          <t>1</t>
        </is>
      </c>
      <c r="H231" t="inlineStr">
        <is>
          <t>No</t>
        </is>
      </c>
      <c r="I231" t="inlineStr">
        <is>
          <t>No</t>
        </is>
      </c>
      <c r="J231" t="inlineStr">
        <is>
          <t>0</t>
        </is>
      </c>
      <c r="K231" t="inlineStr">
        <is>
          <t>Gill, Jean.</t>
        </is>
      </c>
      <c r="L231" t="inlineStr">
        <is>
          <t>Notre Dame, Ind. : Ave Maria Press, c1989.</t>
        </is>
      </c>
      <c r="M231" t="inlineStr">
        <is>
          <t>1989</t>
        </is>
      </c>
      <c r="O231" t="inlineStr">
        <is>
          <t>eng</t>
        </is>
      </c>
      <c r="P231" t="inlineStr">
        <is>
          <t>inu</t>
        </is>
      </c>
      <c r="R231" t="inlineStr">
        <is>
          <t xml:space="preserve">BV </t>
        </is>
      </c>
      <c r="S231" t="n">
        <v>6</v>
      </c>
      <c r="T231" t="n">
        <v>6</v>
      </c>
      <c r="U231" t="inlineStr">
        <is>
          <t>1995-06-20</t>
        </is>
      </c>
      <c r="V231" t="inlineStr">
        <is>
          <t>1995-06-20</t>
        </is>
      </c>
      <c r="W231" t="inlineStr">
        <is>
          <t>1991-11-08</t>
        </is>
      </c>
      <c r="X231" t="inlineStr">
        <is>
          <t>1991-11-08</t>
        </is>
      </c>
      <c r="Y231" t="n">
        <v>107</v>
      </c>
      <c r="Z231" t="n">
        <v>98</v>
      </c>
      <c r="AA231" t="n">
        <v>104</v>
      </c>
      <c r="AB231" t="n">
        <v>2</v>
      </c>
      <c r="AC231" t="n">
        <v>2</v>
      </c>
      <c r="AD231" t="n">
        <v>6</v>
      </c>
      <c r="AE231" t="n">
        <v>6</v>
      </c>
      <c r="AF231" t="n">
        <v>1</v>
      </c>
      <c r="AG231" t="n">
        <v>1</v>
      </c>
      <c r="AH231" t="n">
        <v>0</v>
      </c>
      <c r="AI231" t="n">
        <v>0</v>
      </c>
      <c r="AJ231" t="n">
        <v>6</v>
      </c>
      <c r="AK231" t="n">
        <v>6</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HYPERLINK("https://creighton-primo.hosted.exlibrisgroup.com/primo-explore/search?tab=default_tab&amp;search_scope=EVERYTHING&amp;vid=01CRU&amp;lang=en_US&amp;offset=0&amp;query=any,contains,991001565759702656","Catalog Record")</f>
        <v/>
      </c>
      <c r="AT231">
        <f>HYPERLINK("http://www.worldcat.org/oclc/20325029","WorldCat Record")</f>
        <v/>
      </c>
      <c r="AU231" t="inlineStr">
        <is>
          <t>1166696757:eng</t>
        </is>
      </c>
      <c r="AV231" t="inlineStr">
        <is>
          <t>20325029</t>
        </is>
      </c>
      <c r="AW231" t="inlineStr">
        <is>
          <t>991001565759702656</t>
        </is>
      </c>
      <c r="AX231" t="inlineStr">
        <is>
          <t>991001565759702656</t>
        </is>
      </c>
      <c r="AY231" t="inlineStr">
        <is>
          <t>2260303340002656</t>
        </is>
      </c>
      <c r="AZ231" t="inlineStr">
        <is>
          <t>BOOK</t>
        </is>
      </c>
      <c r="BB231" t="inlineStr">
        <is>
          <t>9780877934028</t>
        </is>
      </c>
      <c r="BC231" t="inlineStr">
        <is>
          <t>32285000820919</t>
        </is>
      </c>
      <c r="BD231" t="inlineStr">
        <is>
          <t>893250300</t>
        </is>
      </c>
    </row>
    <row r="232">
      <c r="A232" t="inlineStr">
        <is>
          <t>No</t>
        </is>
      </c>
      <c r="B232" t="inlineStr">
        <is>
          <t>BV215 .L38 1980</t>
        </is>
      </c>
      <c r="C232" t="inlineStr">
        <is>
          <t>0                      BV 0215000L  38          1980</t>
        </is>
      </c>
      <c r="D232" t="inlineStr">
        <is>
          <t>True prayer : an invitation to Christian spirituality / Kenneth Leech.</t>
        </is>
      </c>
      <c r="F232" t="inlineStr">
        <is>
          <t>No</t>
        </is>
      </c>
      <c r="G232" t="inlineStr">
        <is>
          <t>1</t>
        </is>
      </c>
      <c r="H232" t="inlineStr">
        <is>
          <t>No</t>
        </is>
      </c>
      <c r="I232" t="inlineStr">
        <is>
          <t>Yes</t>
        </is>
      </c>
      <c r="J232" t="inlineStr">
        <is>
          <t>0</t>
        </is>
      </c>
      <c r="K232" t="inlineStr">
        <is>
          <t>Leech, Kenneth, 1939-2015.</t>
        </is>
      </c>
      <c r="L232" t="inlineStr">
        <is>
          <t>New York : Harper &amp; Row, c1980.</t>
        </is>
      </c>
      <c r="M232" t="inlineStr">
        <is>
          <t>1980</t>
        </is>
      </c>
      <c r="N232" t="inlineStr">
        <is>
          <t>1st U.S. ed.</t>
        </is>
      </c>
      <c r="O232" t="inlineStr">
        <is>
          <t>eng</t>
        </is>
      </c>
      <c r="P232" t="inlineStr">
        <is>
          <t>nyu</t>
        </is>
      </c>
      <c r="R232" t="inlineStr">
        <is>
          <t xml:space="preserve">BV </t>
        </is>
      </c>
      <c r="S232" t="n">
        <v>8</v>
      </c>
      <c r="T232" t="n">
        <v>8</v>
      </c>
      <c r="U232" t="inlineStr">
        <is>
          <t>2003-12-05</t>
        </is>
      </c>
      <c r="V232" t="inlineStr">
        <is>
          <t>2003-12-05</t>
        </is>
      </c>
      <c r="W232" t="inlineStr">
        <is>
          <t>1992-06-09</t>
        </is>
      </c>
      <c r="X232" t="inlineStr">
        <is>
          <t>1992-06-09</t>
        </is>
      </c>
      <c r="Y232" t="n">
        <v>308</v>
      </c>
      <c r="Z232" t="n">
        <v>281</v>
      </c>
      <c r="AA232" t="n">
        <v>334</v>
      </c>
      <c r="AB232" t="n">
        <v>4</v>
      </c>
      <c r="AC232" t="n">
        <v>4</v>
      </c>
      <c r="AD232" t="n">
        <v>24</v>
      </c>
      <c r="AE232" t="n">
        <v>26</v>
      </c>
      <c r="AF232" t="n">
        <v>7</v>
      </c>
      <c r="AG232" t="n">
        <v>8</v>
      </c>
      <c r="AH232" t="n">
        <v>5</v>
      </c>
      <c r="AI232" t="n">
        <v>5</v>
      </c>
      <c r="AJ232" t="n">
        <v>16</v>
      </c>
      <c r="AK232" t="n">
        <v>17</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HYPERLINK("https://creighton-primo.hosted.exlibrisgroup.com/primo-explore/search?tab=default_tab&amp;search_scope=EVERYTHING&amp;vid=01CRU&amp;lang=en_US&amp;offset=0&amp;query=any,contains,991005037359702656","Catalog Record")</f>
        <v/>
      </c>
      <c r="AT232">
        <f>HYPERLINK("http://www.worldcat.org/oclc/6762578","WorldCat Record")</f>
        <v/>
      </c>
      <c r="AU232" t="inlineStr">
        <is>
          <t>498642530:eng</t>
        </is>
      </c>
      <c r="AV232" t="inlineStr">
        <is>
          <t>6762578</t>
        </is>
      </c>
      <c r="AW232" t="inlineStr">
        <is>
          <t>991005037359702656</t>
        </is>
      </c>
      <c r="AX232" t="inlineStr">
        <is>
          <t>991005037359702656</t>
        </is>
      </c>
      <c r="AY232" t="inlineStr">
        <is>
          <t>2262863830002656</t>
        </is>
      </c>
      <c r="AZ232" t="inlineStr">
        <is>
          <t>BOOK</t>
        </is>
      </c>
      <c r="BB232" t="inlineStr">
        <is>
          <t>9780060652272</t>
        </is>
      </c>
      <c r="BC232" t="inlineStr">
        <is>
          <t>32285001074482</t>
        </is>
      </c>
      <c r="BD232" t="inlineStr">
        <is>
          <t>893418294</t>
        </is>
      </c>
    </row>
    <row r="233">
      <c r="A233" t="inlineStr">
        <is>
          <t>No</t>
        </is>
      </c>
      <c r="B233" t="inlineStr">
        <is>
          <t>BV215 .L5 1886</t>
        </is>
      </c>
      <c r="C233" t="inlineStr">
        <is>
          <t>0                      BV 0215000L  5           1886</t>
        </is>
      </c>
      <c r="D233" t="inlineStr">
        <is>
          <t>The great means of salvation and of perfection : prayer : mental prayer : the exercises of a retreat : choice of a state of life, and the vocation to the religious state and to the priesthood / by St. Alphonsus de Liguori ; ed. by Eugene Grimm.</t>
        </is>
      </c>
      <c r="F233" t="inlineStr">
        <is>
          <t>No</t>
        </is>
      </c>
      <c r="G233" t="inlineStr">
        <is>
          <t>1</t>
        </is>
      </c>
      <c r="H233" t="inlineStr">
        <is>
          <t>No</t>
        </is>
      </c>
      <c r="I233" t="inlineStr">
        <is>
          <t>No</t>
        </is>
      </c>
      <c r="J233" t="inlineStr">
        <is>
          <t>0</t>
        </is>
      </c>
      <c r="K233" t="inlineStr">
        <is>
          <t>Liguori, Alfonso Maria de', Saint, 1696-1787.</t>
        </is>
      </c>
      <c r="L233" t="inlineStr">
        <is>
          <t>New York : Benziger, [c1886].</t>
        </is>
      </c>
      <c r="M233" t="inlineStr">
        <is>
          <t>1886</t>
        </is>
      </c>
      <c r="N233" t="inlineStr">
        <is>
          <t>3d ed.</t>
        </is>
      </c>
      <c r="O233" t="inlineStr">
        <is>
          <t>eng</t>
        </is>
      </c>
      <c r="P233" t="inlineStr">
        <is>
          <t>nyu</t>
        </is>
      </c>
      <c r="Q233" t="inlineStr">
        <is>
          <t>The complete works of Saint Alphonsus de Liguori. The ascetical works ; v.3</t>
        </is>
      </c>
      <c r="R233" t="inlineStr">
        <is>
          <t xml:space="preserve">BV </t>
        </is>
      </c>
      <c r="S233" t="n">
        <v>5</v>
      </c>
      <c r="T233" t="n">
        <v>5</v>
      </c>
      <c r="U233" t="inlineStr">
        <is>
          <t>2007-10-08</t>
        </is>
      </c>
      <c r="V233" t="inlineStr">
        <is>
          <t>2007-10-08</t>
        </is>
      </c>
      <c r="W233" t="inlineStr">
        <is>
          <t>1991-11-26</t>
        </is>
      </c>
      <c r="X233" t="inlineStr">
        <is>
          <t>1991-11-26</t>
        </is>
      </c>
      <c r="Y233" t="n">
        <v>26</v>
      </c>
      <c r="Z233" t="n">
        <v>24</v>
      </c>
      <c r="AA233" t="n">
        <v>97</v>
      </c>
      <c r="AB233" t="n">
        <v>1</v>
      </c>
      <c r="AC233" t="n">
        <v>2</v>
      </c>
      <c r="AD233" t="n">
        <v>7</v>
      </c>
      <c r="AE233" t="n">
        <v>18</v>
      </c>
      <c r="AF233" t="n">
        <v>1</v>
      </c>
      <c r="AG233" t="n">
        <v>5</v>
      </c>
      <c r="AH233" t="n">
        <v>1</v>
      </c>
      <c r="AI233" t="n">
        <v>5</v>
      </c>
      <c r="AJ233" t="n">
        <v>6</v>
      </c>
      <c r="AK233" t="n">
        <v>12</v>
      </c>
      <c r="AL233" t="n">
        <v>0</v>
      </c>
      <c r="AM233" t="n">
        <v>0</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HYPERLINK("https://creighton-primo.hosted.exlibrisgroup.com/primo-explore/search?tab=default_tab&amp;search_scope=EVERYTHING&amp;vid=01CRU&amp;lang=en_US&amp;offset=0&amp;query=any,contains,991005112089702656","Catalog Record")</f>
        <v/>
      </c>
      <c r="AT233">
        <f>HYPERLINK("http://www.worldcat.org/oclc/7452669","WorldCat Record")</f>
        <v/>
      </c>
      <c r="AU233" t="inlineStr">
        <is>
          <t>2054775:eng</t>
        </is>
      </c>
      <c r="AV233" t="inlineStr">
        <is>
          <t>7452669</t>
        </is>
      </c>
      <c r="AW233" t="inlineStr">
        <is>
          <t>991005112089702656</t>
        </is>
      </c>
      <c r="AX233" t="inlineStr">
        <is>
          <t>991005112089702656</t>
        </is>
      </c>
      <c r="AY233" t="inlineStr">
        <is>
          <t>2260382740002656</t>
        </is>
      </c>
      <c r="AZ233" t="inlineStr">
        <is>
          <t>BOOK</t>
        </is>
      </c>
      <c r="BC233" t="inlineStr">
        <is>
          <t>32285000837111</t>
        </is>
      </c>
      <c r="BD233" t="inlineStr">
        <is>
          <t>893625468</t>
        </is>
      </c>
    </row>
    <row r="234">
      <c r="A234" t="inlineStr">
        <is>
          <t>No</t>
        </is>
      </c>
      <c r="B234" t="inlineStr">
        <is>
          <t>BV215 .M33 1985</t>
        </is>
      </c>
      <c r="C234" t="inlineStr">
        <is>
          <t>0                      BV 0215000M  33          1985</t>
        </is>
      </c>
      <c r="D234" t="inlineStr">
        <is>
          <t>Prayer pilgrimage with Paul : resources for personal and small group prayer / Rea McDonnell.</t>
        </is>
      </c>
      <c r="F234" t="inlineStr">
        <is>
          <t>No</t>
        </is>
      </c>
      <c r="G234" t="inlineStr">
        <is>
          <t>1</t>
        </is>
      </c>
      <c r="H234" t="inlineStr">
        <is>
          <t>No</t>
        </is>
      </c>
      <c r="I234" t="inlineStr">
        <is>
          <t>No</t>
        </is>
      </c>
      <c r="J234" t="inlineStr">
        <is>
          <t>0</t>
        </is>
      </c>
      <c r="K234" t="inlineStr">
        <is>
          <t>McDonnell, Rea.</t>
        </is>
      </c>
      <c r="L234" t="inlineStr">
        <is>
          <t>New York : Paulist Press, c1985.</t>
        </is>
      </c>
      <c r="M234" t="inlineStr">
        <is>
          <t>1985</t>
        </is>
      </c>
      <c r="O234" t="inlineStr">
        <is>
          <t>eng</t>
        </is>
      </c>
      <c r="P234" t="inlineStr">
        <is>
          <t>nyu</t>
        </is>
      </c>
      <c r="R234" t="inlineStr">
        <is>
          <t xml:space="preserve">BV </t>
        </is>
      </c>
      <c r="S234" t="n">
        <v>6</v>
      </c>
      <c r="T234" t="n">
        <v>6</v>
      </c>
      <c r="U234" t="inlineStr">
        <is>
          <t>1999-07-24</t>
        </is>
      </c>
      <c r="V234" t="inlineStr">
        <is>
          <t>1999-07-24</t>
        </is>
      </c>
      <c r="W234" t="inlineStr">
        <is>
          <t>1991-11-26</t>
        </is>
      </c>
      <c r="X234" t="inlineStr">
        <is>
          <t>1991-11-26</t>
        </is>
      </c>
      <c r="Y234" t="n">
        <v>22</v>
      </c>
      <c r="Z234" t="n">
        <v>22</v>
      </c>
      <c r="AA234" t="n">
        <v>54</v>
      </c>
      <c r="AB234" t="n">
        <v>1</v>
      </c>
      <c r="AC234" t="n">
        <v>1</v>
      </c>
      <c r="AD234" t="n">
        <v>2</v>
      </c>
      <c r="AE234" t="n">
        <v>4</v>
      </c>
      <c r="AF234" t="n">
        <v>0</v>
      </c>
      <c r="AG234" t="n">
        <v>1</v>
      </c>
      <c r="AH234" t="n">
        <v>1</v>
      </c>
      <c r="AI234" t="n">
        <v>1</v>
      </c>
      <c r="AJ234" t="n">
        <v>1</v>
      </c>
      <c r="AK234" t="n">
        <v>3</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HYPERLINK("https://creighton-primo.hosted.exlibrisgroup.com/primo-explore/search?tab=default_tab&amp;search_scope=EVERYTHING&amp;vid=01CRU&amp;lang=en_US&amp;offset=0&amp;query=any,contains,991000838249702656","Catalog Record")</f>
        <v/>
      </c>
      <c r="AT234">
        <f>HYPERLINK("http://www.worldcat.org/oclc/13512084","WorldCat Record")</f>
        <v/>
      </c>
      <c r="AU234" t="inlineStr">
        <is>
          <t>6994084:eng</t>
        </is>
      </c>
      <c r="AV234" t="inlineStr">
        <is>
          <t>13512084</t>
        </is>
      </c>
      <c r="AW234" t="inlineStr">
        <is>
          <t>991000838249702656</t>
        </is>
      </c>
      <c r="AX234" t="inlineStr">
        <is>
          <t>991000838249702656</t>
        </is>
      </c>
      <c r="AY234" t="inlineStr">
        <is>
          <t>2264065030002656</t>
        </is>
      </c>
      <c r="AZ234" t="inlineStr">
        <is>
          <t>BOOK</t>
        </is>
      </c>
      <c r="BC234" t="inlineStr">
        <is>
          <t>32285000837129</t>
        </is>
      </c>
      <c r="BD234" t="inlineStr">
        <is>
          <t>893225360</t>
        </is>
      </c>
    </row>
    <row r="235">
      <c r="A235" t="inlineStr">
        <is>
          <t>No</t>
        </is>
      </c>
      <c r="B235" t="inlineStr">
        <is>
          <t>BV215 .M335 1989</t>
        </is>
      </c>
      <c r="C235" t="inlineStr">
        <is>
          <t>0                      BV 0215000M  335         1989</t>
        </is>
      </c>
      <c r="D235" t="inlineStr">
        <is>
          <t>Why not become totally fire? : the power of fiery prayer / by George A. Maloney.</t>
        </is>
      </c>
      <c r="F235" t="inlineStr">
        <is>
          <t>No</t>
        </is>
      </c>
      <c r="G235" t="inlineStr">
        <is>
          <t>1</t>
        </is>
      </c>
      <c r="H235" t="inlineStr">
        <is>
          <t>No</t>
        </is>
      </c>
      <c r="I235" t="inlineStr">
        <is>
          <t>No</t>
        </is>
      </c>
      <c r="J235" t="inlineStr">
        <is>
          <t>0</t>
        </is>
      </c>
      <c r="K235" t="inlineStr">
        <is>
          <t>Maloney, George A., 1924-2005.</t>
        </is>
      </c>
      <c r="L235" t="inlineStr">
        <is>
          <t>New York : Paulist Press, c1989.</t>
        </is>
      </c>
      <c r="M235" t="inlineStr">
        <is>
          <t>1989</t>
        </is>
      </c>
      <c r="O235" t="inlineStr">
        <is>
          <t>eng</t>
        </is>
      </c>
      <c r="P235" t="inlineStr">
        <is>
          <t>nyu</t>
        </is>
      </c>
      <c r="R235" t="inlineStr">
        <is>
          <t xml:space="preserve">BV </t>
        </is>
      </c>
      <c r="S235" t="n">
        <v>4</v>
      </c>
      <c r="T235" t="n">
        <v>4</v>
      </c>
      <c r="U235" t="inlineStr">
        <is>
          <t>2004-11-21</t>
        </is>
      </c>
      <c r="V235" t="inlineStr">
        <is>
          <t>2004-11-21</t>
        </is>
      </c>
      <c r="W235" t="inlineStr">
        <is>
          <t>1990-10-17</t>
        </is>
      </c>
      <c r="X235" t="inlineStr">
        <is>
          <t>1990-10-17</t>
        </is>
      </c>
      <c r="Y235" t="n">
        <v>51</v>
      </c>
      <c r="Z235" t="n">
        <v>46</v>
      </c>
      <c r="AA235" t="n">
        <v>46</v>
      </c>
      <c r="AB235" t="n">
        <v>2</v>
      </c>
      <c r="AC235" t="n">
        <v>2</v>
      </c>
      <c r="AD235" t="n">
        <v>6</v>
      </c>
      <c r="AE235" t="n">
        <v>6</v>
      </c>
      <c r="AF235" t="n">
        <v>0</v>
      </c>
      <c r="AG235" t="n">
        <v>0</v>
      </c>
      <c r="AH235" t="n">
        <v>1</v>
      </c>
      <c r="AI235" t="n">
        <v>1</v>
      </c>
      <c r="AJ235" t="n">
        <v>5</v>
      </c>
      <c r="AK235" t="n">
        <v>5</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HYPERLINK("https://creighton-primo.hosted.exlibrisgroup.com/primo-explore/search?tab=default_tab&amp;search_scope=EVERYTHING&amp;vid=01CRU&amp;lang=en_US&amp;offset=0&amp;query=any,contains,991001560809702656","Catalog Record")</f>
        <v/>
      </c>
      <c r="AT235">
        <f>HYPERLINK("http://www.worldcat.org/oclc/20296794","WorldCat Record")</f>
        <v/>
      </c>
      <c r="AU235" t="inlineStr">
        <is>
          <t>22711168:eng</t>
        </is>
      </c>
      <c r="AV235" t="inlineStr">
        <is>
          <t>20296794</t>
        </is>
      </c>
      <c r="AW235" t="inlineStr">
        <is>
          <t>991001560809702656</t>
        </is>
      </c>
      <c r="AX235" t="inlineStr">
        <is>
          <t>991001560809702656</t>
        </is>
      </c>
      <c r="AY235" t="inlineStr">
        <is>
          <t>2260244660002656</t>
        </is>
      </c>
      <c r="AZ235" t="inlineStr">
        <is>
          <t>BOOK</t>
        </is>
      </c>
      <c r="BB235" t="inlineStr">
        <is>
          <t>9780809131228</t>
        </is>
      </c>
      <c r="BC235" t="inlineStr">
        <is>
          <t>32285000311117</t>
        </is>
      </c>
      <c r="BD235" t="inlineStr">
        <is>
          <t>893903459</t>
        </is>
      </c>
    </row>
    <row r="236">
      <c r="A236" t="inlineStr">
        <is>
          <t>No</t>
        </is>
      </c>
      <c r="B236" t="inlineStr">
        <is>
          <t>BV215 .M34 1982</t>
        </is>
      </c>
      <c r="C236" t="inlineStr">
        <is>
          <t>0                      BV 0215000M  34          1982</t>
        </is>
      </c>
      <c r="D236" t="inlineStr">
        <is>
          <t>Centering on the Lord Jesus : the whole person at prayer / by George Maloney.</t>
        </is>
      </c>
      <c r="F236" t="inlineStr">
        <is>
          <t>No</t>
        </is>
      </c>
      <c r="G236" t="inlineStr">
        <is>
          <t>1</t>
        </is>
      </c>
      <c r="H236" t="inlineStr">
        <is>
          <t>No</t>
        </is>
      </c>
      <c r="I236" t="inlineStr">
        <is>
          <t>No</t>
        </is>
      </c>
      <c r="J236" t="inlineStr">
        <is>
          <t>0</t>
        </is>
      </c>
      <c r="K236" t="inlineStr">
        <is>
          <t>Maloney, George A., 1924-2005.</t>
        </is>
      </c>
      <c r="L236" t="inlineStr">
        <is>
          <t>Wilmington, Del. : Michael Glazier, 1982.</t>
        </is>
      </c>
      <c r="M236" t="inlineStr">
        <is>
          <t>1982</t>
        </is>
      </c>
      <c r="O236" t="inlineStr">
        <is>
          <t>eng</t>
        </is>
      </c>
      <c r="P236" t="inlineStr">
        <is>
          <t>deu</t>
        </is>
      </c>
      <c r="Q236" t="inlineStr">
        <is>
          <t>Ways of prayer ; v. 3</t>
        </is>
      </c>
      <c r="R236" t="inlineStr">
        <is>
          <t xml:space="preserve">BV </t>
        </is>
      </c>
      <c r="S236" t="n">
        <v>6</v>
      </c>
      <c r="T236" t="n">
        <v>6</v>
      </c>
      <c r="U236" t="inlineStr">
        <is>
          <t>2003-07-11</t>
        </is>
      </c>
      <c r="V236" t="inlineStr">
        <is>
          <t>2003-07-11</t>
        </is>
      </c>
      <c r="W236" t="inlineStr">
        <is>
          <t>1991-11-26</t>
        </is>
      </c>
      <c r="X236" t="inlineStr">
        <is>
          <t>1991-11-26</t>
        </is>
      </c>
      <c r="Y236" t="n">
        <v>118</v>
      </c>
      <c r="Z236" t="n">
        <v>105</v>
      </c>
      <c r="AA236" t="n">
        <v>110</v>
      </c>
      <c r="AB236" t="n">
        <v>2</v>
      </c>
      <c r="AC236" t="n">
        <v>2</v>
      </c>
      <c r="AD236" t="n">
        <v>15</v>
      </c>
      <c r="AE236" t="n">
        <v>15</v>
      </c>
      <c r="AF236" t="n">
        <v>3</v>
      </c>
      <c r="AG236" t="n">
        <v>3</v>
      </c>
      <c r="AH236" t="n">
        <v>6</v>
      </c>
      <c r="AI236" t="n">
        <v>6</v>
      </c>
      <c r="AJ236" t="n">
        <v>11</v>
      </c>
      <c r="AK236" t="n">
        <v>11</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HYPERLINK("https://creighton-primo.hosted.exlibrisgroup.com/primo-explore/search?tab=default_tab&amp;search_scope=EVERYTHING&amp;vid=01CRU&amp;lang=en_US&amp;offset=0&amp;query=any,contains,991000169089702656","Catalog Record")</f>
        <v/>
      </c>
      <c r="AT236">
        <f>HYPERLINK("http://www.worldcat.org/oclc/9319343","WorldCat Record")</f>
        <v/>
      </c>
      <c r="AU236" t="inlineStr">
        <is>
          <t>42848456:eng</t>
        </is>
      </c>
      <c r="AV236" t="inlineStr">
        <is>
          <t>9319343</t>
        </is>
      </c>
      <c r="AW236" t="inlineStr">
        <is>
          <t>991000169089702656</t>
        </is>
      </c>
      <c r="AX236" t="inlineStr">
        <is>
          <t>991000169089702656</t>
        </is>
      </c>
      <c r="AY236" t="inlineStr">
        <is>
          <t>2261311150002656</t>
        </is>
      </c>
      <c r="AZ236" t="inlineStr">
        <is>
          <t>BOOK</t>
        </is>
      </c>
      <c r="BB236" t="inlineStr">
        <is>
          <t>9780894532788</t>
        </is>
      </c>
      <c r="BC236" t="inlineStr">
        <is>
          <t>32285000837137</t>
        </is>
      </c>
      <c r="BD236" t="inlineStr">
        <is>
          <t>893419257</t>
        </is>
      </c>
    </row>
    <row r="237">
      <c r="A237" t="inlineStr">
        <is>
          <t>No</t>
        </is>
      </c>
      <c r="B237" t="inlineStr">
        <is>
          <t>BV215 .O44 1994</t>
        </is>
      </c>
      <c r="C237" t="inlineStr">
        <is>
          <t>0                      BV 0215000O  44          1994</t>
        </is>
      </c>
      <c r="D237" t="inlineStr">
        <is>
          <t>Free to pray -- free to love : growing in prayer &amp; compassion / Max Oliva.</t>
        </is>
      </c>
      <c r="F237" t="inlineStr">
        <is>
          <t>No</t>
        </is>
      </c>
      <c r="G237" t="inlineStr">
        <is>
          <t>1</t>
        </is>
      </c>
      <c r="H237" t="inlineStr">
        <is>
          <t>No</t>
        </is>
      </c>
      <c r="I237" t="inlineStr">
        <is>
          <t>No</t>
        </is>
      </c>
      <c r="J237" t="inlineStr">
        <is>
          <t>0</t>
        </is>
      </c>
      <c r="K237" t="inlineStr">
        <is>
          <t>Oliva, Max.</t>
        </is>
      </c>
      <c r="L237" t="inlineStr">
        <is>
          <t>Notre Dame, Indiana : Ave Maria Press, c1994.</t>
        </is>
      </c>
      <c r="M237" t="inlineStr">
        <is>
          <t>1994</t>
        </is>
      </c>
      <c r="O237" t="inlineStr">
        <is>
          <t>eng</t>
        </is>
      </c>
      <c r="P237" t="inlineStr">
        <is>
          <t>inu</t>
        </is>
      </c>
      <c r="R237" t="inlineStr">
        <is>
          <t xml:space="preserve">BV </t>
        </is>
      </c>
      <c r="S237" t="n">
        <v>8</v>
      </c>
      <c r="T237" t="n">
        <v>8</v>
      </c>
      <c r="U237" t="inlineStr">
        <is>
          <t>2007-03-30</t>
        </is>
      </c>
      <c r="V237" t="inlineStr">
        <is>
          <t>2007-03-30</t>
        </is>
      </c>
      <c r="W237" t="inlineStr">
        <is>
          <t>1994-04-21</t>
        </is>
      </c>
      <c r="X237" t="inlineStr">
        <is>
          <t>1994-04-21</t>
        </is>
      </c>
      <c r="Y237" t="n">
        <v>92</v>
      </c>
      <c r="Z237" t="n">
        <v>79</v>
      </c>
      <c r="AA237" t="n">
        <v>80</v>
      </c>
      <c r="AB237" t="n">
        <v>2</v>
      </c>
      <c r="AC237" t="n">
        <v>2</v>
      </c>
      <c r="AD237" t="n">
        <v>11</v>
      </c>
      <c r="AE237" t="n">
        <v>11</v>
      </c>
      <c r="AF237" t="n">
        <v>5</v>
      </c>
      <c r="AG237" t="n">
        <v>5</v>
      </c>
      <c r="AH237" t="n">
        <v>1</v>
      </c>
      <c r="AI237" t="n">
        <v>1</v>
      </c>
      <c r="AJ237" t="n">
        <v>9</v>
      </c>
      <c r="AK237" t="n">
        <v>9</v>
      </c>
      <c r="AL237" t="n">
        <v>0</v>
      </c>
      <c r="AM237" t="n">
        <v>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HYPERLINK("https://creighton-primo.hosted.exlibrisgroup.com/primo-explore/search?tab=default_tab&amp;search_scope=EVERYTHING&amp;vid=01CRU&amp;lang=en_US&amp;offset=0&amp;query=any,contains,991002307559702656","Catalog Record")</f>
        <v/>
      </c>
      <c r="AT237">
        <f>HYPERLINK("http://www.worldcat.org/oclc/29927897","WorldCat Record")</f>
        <v/>
      </c>
      <c r="AU237" t="inlineStr">
        <is>
          <t>34412993:eng</t>
        </is>
      </c>
      <c r="AV237" t="inlineStr">
        <is>
          <t>29927897</t>
        </is>
      </c>
      <c r="AW237" t="inlineStr">
        <is>
          <t>991002307559702656</t>
        </is>
      </c>
      <c r="AX237" t="inlineStr">
        <is>
          <t>991002307559702656</t>
        </is>
      </c>
      <c r="AY237" t="inlineStr">
        <is>
          <t>2270582170002656</t>
        </is>
      </c>
      <c r="AZ237" t="inlineStr">
        <is>
          <t>BOOK</t>
        </is>
      </c>
      <c r="BB237" t="inlineStr">
        <is>
          <t>9780877935216</t>
        </is>
      </c>
      <c r="BC237" t="inlineStr">
        <is>
          <t>32285001864015</t>
        </is>
      </c>
      <c r="BD237" t="inlineStr">
        <is>
          <t>893703928</t>
        </is>
      </c>
    </row>
    <row r="238">
      <c r="A238" t="inlineStr">
        <is>
          <t>No</t>
        </is>
      </c>
      <c r="B238" t="inlineStr">
        <is>
          <t>BV215 .Y68</t>
        </is>
      </c>
      <c r="C238" t="inlineStr">
        <is>
          <t>0                      BV 0215000Y  68</t>
        </is>
      </c>
      <c r="D238" t="inlineStr">
        <is>
          <t>You : prayer for beginners and those who have forgotten how / [compiled by] Mark Link.</t>
        </is>
      </c>
      <c r="F238" t="inlineStr">
        <is>
          <t>No</t>
        </is>
      </c>
      <c r="G238" t="inlineStr">
        <is>
          <t>1</t>
        </is>
      </c>
      <c r="H238" t="inlineStr">
        <is>
          <t>No</t>
        </is>
      </c>
      <c r="I238" t="inlineStr">
        <is>
          <t>No</t>
        </is>
      </c>
      <c r="J238" t="inlineStr">
        <is>
          <t>0</t>
        </is>
      </c>
      <c r="L238" t="inlineStr">
        <is>
          <t>Niles, Ill. : Argus Communications, c1976.</t>
        </is>
      </c>
      <c r="M238" t="inlineStr">
        <is>
          <t>1976</t>
        </is>
      </c>
      <c r="N238" t="inlineStr">
        <is>
          <t>1st ed.</t>
        </is>
      </c>
      <c r="O238" t="inlineStr">
        <is>
          <t>eng</t>
        </is>
      </c>
      <c r="P238" t="inlineStr">
        <is>
          <t>ilu</t>
        </is>
      </c>
      <c r="R238" t="inlineStr">
        <is>
          <t xml:space="preserve">BV </t>
        </is>
      </c>
      <c r="S238" t="n">
        <v>7</v>
      </c>
      <c r="T238" t="n">
        <v>7</v>
      </c>
      <c r="U238" t="inlineStr">
        <is>
          <t>1999-07-07</t>
        </is>
      </c>
      <c r="V238" t="inlineStr">
        <is>
          <t>1999-07-07</t>
        </is>
      </c>
      <c r="W238" t="inlineStr">
        <is>
          <t>1991-11-26</t>
        </is>
      </c>
      <c r="X238" t="inlineStr">
        <is>
          <t>1991-11-26</t>
        </is>
      </c>
      <c r="Y238" t="n">
        <v>129</v>
      </c>
      <c r="Z238" t="n">
        <v>94</v>
      </c>
      <c r="AA238" t="n">
        <v>99</v>
      </c>
      <c r="AB238" t="n">
        <v>2</v>
      </c>
      <c r="AC238" t="n">
        <v>2</v>
      </c>
      <c r="AD238" t="n">
        <v>12</v>
      </c>
      <c r="AE238" t="n">
        <v>12</v>
      </c>
      <c r="AF238" t="n">
        <v>5</v>
      </c>
      <c r="AG238" t="n">
        <v>5</v>
      </c>
      <c r="AH238" t="n">
        <v>2</v>
      </c>
      <c r="AI238" t="n">
        <v>2</v>
      </c>
      <c r="AJ238" t="n">
        <v>9</v>
      </c>
      <c r="AK238" t="n">
        <v>9</v>
      </c>
      <c r="AL238" t="n">
        <v>0</v>
      </c>
      <c r="AM238" t="n">
        <v>0</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HYPERLINK("https://creighton-primo.hosted.exlibrisgroup.com/primo-explore/search?tab=default_tab&amp;search_scope=EVERYTHING&amp;vid=01CRU&amp;lang=en_US&amp;offset=0&amp;query=any,contains,991004499739702656","Catalog Record")</f>
        <v/>
      </c>
      <c r="AT238">
        <f>HYPERLINK("http://www.worldcat.org/oclc/2580540","WorldCat Record")</f>
        <v/>
      </c>
      <c r="AU238" t="inlineStr">
        <is>
          <t>5164525815:eng</t>
        </is>
      </c>
      <c r="AV238" t="inlineStr">
        <is>
          <t>2580540</t>
        </is>
      </c>
      <c r="AW238" t="inlineStr">
        <is>
          <t>991004499739702656</t>
        </is>
      </c>
      <c r="AX238" t="inlineStr">
        <is>
          <t>991004499739702656</t>
        </is>
      </c>
      <c r="AY238" t="inlineStr">
        <is>
          <t>2263888130002656</t>
        </is>
      </c>
      <c r="AZ238" t="inlineStr">
        <is>
          <t>BOOK</t>
        </is>
      </c>
      <c r="BB238" t="inlineStr">
        <is>
          <t>9780913592786</t>
        </is>
      </c>
      <c r="BC238" t="inlineStr">
        <is>
          <t>32285000837160</t>
        </is>
      </c>
      <c r="BD238" t="inlineStr">
        <is>
          <t>893259786</t>
        </is>
      </c>
    </row>
    <row r="239">
      <c r="A239" t="inlineStr">
        <is>
          <t>No</t>
        </is>
      </c>
      <c r="B239" t="inlineStr">
        <is>
          <t>BV2160 .N277 1986</t>
        </is>
      </c>
      <c r="C239" t="inlineStr">
        <is>
          <t>0                      BV 2160000N  277         1986</t>
        </is>
      </c>
      <c r="D239" t="inlineStr">
        <is>
          <t>To the ends of the earth: a pastoral statement on world mission / National Conference of Catholic Bishops.</t>
        </is>
      </c>
      <c r="F239" t="inlineStr">
        <is>
          <t>No</t>
        </is>
      </c>
      <c r="G239" t="inlineStr">
        <is>
          <t>1</t>
        </is>
      </c>
      <c r="H239" t="inlineStr">
        <is>
          <t>No</t>
        </is>
      </c>
      <c r="I239" t="inlineStr">
        <is>
          <t>No</t>
        </is>
      </c>
      <c r="J239" t="inlineStr">
        <is>
          <t>0</t>
        </is>
      </c>
      <c r="K239" t="inlineStr">
        <is>
          <t>Catholic Church. National Conference of Catholic Bishops. Committee on the Missions.</t>
        </is>
      </c>
      <c r="L239" t="inlineStr">
        <is>
          <t>Washington : Office of Publishing and Promotion Services, United States Catholic Conference, c1986.</t>
        </is>
      </c>
      <c r="M239" t="inlineStr">
        <is>
          <t>1986</t>
        </is>
      </c>
      <c r="O239" t="inlineStr">
        <is>
          <t>eng</t>
        </is>
      </c>
      <c r="P239" t="inlineStr">
        <is>
          <t>dcu</t>
        </is>
      </c>
      <c r="Q239" t="inlineStr">
        <is>
          <t>Publication (United States Catholic Conference. Office of Publishing and Promotion Services) ; no. 112-1</t>
        </is>
      </c>
      <c r="R239" t="inlineStr">
        <is>
          <t xml:space="preserve">BV </t>
        </is>
      </c>
      <c r="S239" t="n">
        <v>1</v>
      </c>
      <c r="T239" t="n">
        <v>1</v>
      </c>
      <c r="U239" t="inlineStr">
        <is>
          <t>2000-07-19</t>
        </is>
      </c>
      <c r="V239" t="inlineStr">
        <is>
          <t>2000-07-19</t>
        </is>
      </c>
      <c r="W239" t="inlineStr">
        <is>
          <t>1990-04-17</t>
        </is>
      </c>
      <c r="X239" t="inlineStr">
        <is>
          <t>1990-04-17</t>
        </is>
      </c>
      <c r="Y239" t="n">
        <v>103</v>
      </c>
      <c r="Z239" t="n">
        <v>93</v>
      </c>
      <c r="AA239" t="n">
        <v>103</v>
      </c>
      <c r="AB239" t="n">
        <v>2</v>
      </c>
      <c r="AC239" t="n">
        <v>2</v>
      </c>
      <c r="AD239" t="n">
        <v>17</v>
      </c>
      <c r="AE239" t="n">
        <v>17</v>
      </c>
      <c r="AF239" t="n">
        <v>5</v>
      </c>
      <c r="AG239" t="n">
        <v>5</v>
      </c>
      <c r="AH239" t="n">
        <v>5</v>
      </c>
      <c r="AI239" t="n">
        <v>5</v>
      </c>
      <c r="AJ239" t="n">
        <v>14</v>
      </c>
      <c r="AK239" t="n">
        <v>14</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HYPERLINK("https://creighton-primo.hosted.exlibrisgroup.com/primo-explore/search?tab=default_tab&amp;search_scope=EVERYTHING&amp;vid=01CRU&amp;lang=en_US&amp;offset=0&amp;query=any,contains,991001030829702656","Catalog Record")</f>
        <v/>
      </c>
      <c r="AT239">
        <f>HYPERLINK("http://www.worldcat.org/oclc/17209339","WorldCat Record")</f>
        <v/>
      </c>
      <c r="AU239" t="inlineStr">
        <is>
          <t>24639778:eng</t>
        </is>
      </c>
      <c r="AV239" t="inlineStr">
        <is>
          <t>17209339</t>
        </is>
      </c>
      <c r="AW239" t="inlineStr">
        <is>
          <t>991001030829702656</t>
        </is>
      </c>
      <c r="AX239" t="inlineStr">
        <is>
          <t>991001030829702656</t>
        </is>
      </c>
      <c r="AY239" t="inlineStr">
        <is>
          <t>2262609760002656</t>
        </is>
      </c>
      <c r="AZ239" t="inlineStr">
        <is>
          <t>BOOK</t>
        </is>
      </c>
      <c r="BB239" t="inlineStr">
        <is>
          <t>9781555861124</t>
        </is>
      </c>
      <c r="BC239" t="inlineStr">
        <is>
          <t>32285000120773</t>
        </is>
      </c>
      <c r="BD239" t="inlineStr">
        <is>
          <t>893346184</t>
        </is>
      </c>
    </row>
    <row r="240">
      <c r="A240" t="inlineStr">
        <is>
          <t>No</t>
        </is>
      </c>
      <c r="B240" t="inlineStr">
        <is>
          <t>BV2165 .S8 1927</t>
        </is>
      </c>
      <c r="C240" t="inlineStr">
        <is>
          <t>0                      BV 2165000S  8           1927</t>
        </is>
      </c>
      <c r="D240" t="inlineStr">
        <is>
          <t>Catholic missions in figures and symbols : based on the Vatican Missionary Exhibition / by Dr. Robert Streit, O.M.I.</t>
        </is>
      </c>
      <c r="F240" t="inlineStr">
        <is>
          <t>No</t>
        </is>
      </c>
      <c r="G240" t="inlineStr">
        <is>
          <t>1</t>
        </is>
      </c>
      <c r="H240" t="inlineStr">
        <is>
          <t>No</t>
        </is>
      </c>
      <c r="I240" t="inlineStr">
        <is>
          <t>No</t>
        </is>
      </c>
      <c r="J240" t="inlineStr">
        <is>
          <t>0</t>
        </is>
      </c>
      <c r="K240" t="inlineStr">
        <is>
          <t>Streit, Robert, 1875-1930.</t>
        </is>
      </c>
      <c r="L240" t="inlineStr">
        <is>
          <t>[s.l.] : Society for the Propagation of the Faith, 1927.</t>
        </is>
      </c>
      <c r="M240" t="inlineStr">
        <is>
          <t>1927</t>
        </is>
      </c>
      <c r="O240" t="inlineStr">
        <is>
          <t>eng</t>
        </is>
      </c>
      <c r="P240" t="inlineStr">
        <is>
          <t xml:space="preserve">xx </t>
        </is>
      </c>
      <c r="R240" t="inlineStr">
        <is>
          <t xml:space="preserve">BV </t>
        </is>
      </c>
      <c r="S240" t="n">
        <v>0</v>
      </c>
      <c r="T240" t="n">
        <v>0</v>
      </c>
      <c r="U240" t="inlineStr">
        <is>
          <t>2006-01-09</t>
        </is>
      </c>
      <c r="V240" t="inlineStr">
        <is>
          <t>2006-01-09</t>
        </is>
      </c>
      <c r="W240" t="inlineStr">
        <is>
          <t>1992-02-06</t>
        </is>
      </c>
      <c r="X240" t="inlineStr">
        <is>
          <t>1992-02-06</t>
        </is>
      </c>
      <c r="Y240" t="n">
        <v>65</v>
      </c>
      <c r="Z240" t="n">
        <v>62</v>
      </c>
      <c r="AA240" t="n">
        <v>65</v>
      </c>
      <c r="AB240" t="n">
        <v>1</v>
      </c>
      <c r="AC240" t="n">
        <v>1</v>
      </c>
      <c r="AD240" t="n">
        <v>10</v>
      </c>
      <c r="AE240" t="n">
        <v>10</v>
      </c>
      <c r="AF240" t="n">
        <v>1</v>
      </c>
      <c r="AG240" t="n">
        <v>1</v>
      </c>
      <c r="AH240" t="n">
        <v>2</v>
      </c>
      <c r="AI240" t="n">
        <v>2</v>
      </c>
      <c r="AJ240" t="n">
        <v>8</v>
      </c>
      <c r="AK240" t="n">
        <v>8</v>
      </c>
      <c r="AL240" t="n">
        <v>0</v>
      </c>
      <c r="AM240" t="n">
        <v>0</v>
      </c>
      <c r="AN240" t="n">
        <v>0</v>
      </c>
      <c r="AO240" t="n">
        <v>0</v>
      </c>
      <c r="AP240" t="inlineStr">
        <is>
          <t>No</t>
        </is>
      </c>
      <c r="AQ240" t="inlineStr">
        <is>
          <t>Yes</t>
        </is>
      </c>
      <c r="AR240">
        <f>HYPERLINK("http://catalog.hathitrust.org/Record/001936151","HathiTrust Record")</f>
        <v/>
      </c>
      <c r="AS240">
        <f>HYPERLINK("https://creighton-primo.hosted.exlibrisgroup.com/primo-explore/search?tab=default_tab&amp;search_scope=EVERYTHING&amp;vid=01CRU&amp;lang=en_US&amp;offset=0&amp;query=any,contains,991005110189702656","Catalog Record")</f>
        <v/>
      </c>
      <c r="AT240">
        <f>HYPERLINK("http://www.worldcat.org/oclc/7412042","WorldCat Record")</f>
        <v/>
      </c>
      <c r="AU240" t="inlineStr">
        <is>
          <t>27243626:eng</t>
        </is>
      </c>
      <c r="AV240" t="inlineStr">
        <is>
          <t>7412042</t>
        </is>
      </c>
      <c r="AW240" t="inlineStr">
        <is>
          <t>991005110189702656</t>
        </is>
      </c>
      <c r="AX240" t="inlineStr">
        <is>
          <t>991005110189702656</t>
        </is>
      </c>
      <c r="AY240" t="inlineStr">
        <is>
          <t>2256894210002656</t>
        </is>
      </c>
      <c r="AZ240" t="inlineStr">
        <is>
          <t>BOOK</t>
        </is>
      </c>
      <c r="BC240" t="inlineStr">
        <is>
          <t>32285000927656</t>
        </is>
      </c>
      <c r="BD240" t="inlineStr">
        <is>
          <t>893418391</t>
        </is>
      </c>
    </row>
    <row r="241">
      <c r="A241" t="inlineStr">
        <is>
          <t>No</t>
        </is>
      </c>
      <c r="B241" t="inlineStr">
        <is>
          <t>BV2180 .C33 1965</t>
        </is>
      </c>
      <c r="C241" t="inlineStr">
        <is>
          <t>0                      BV 2180000C  33          1965</t>
        </is>
      </c>
      <c r="D241" t="inlineStr">
        <is>
          <t>The church in mission / edited by Robert E. Campbell.</t>
        </is>
      </c>
      <c r="F241" t="inlineStr">
        <is>
          <t>No</t>
        </is>
      </c>
      <c r="G241" t="inlineStr">
        <is>
          <t>1</t>
        </is>
      </c>
      <c r="H241" t="inlineStr">
        <is>
          <t>No</t>
        </is>
      </c>
      <c r="I241" t="inlineStr">
        <is>
          <t>No</t>
        </is>
      </c>
      <c r="J241" t="inlineStr">
        <is>
          <t>0</t>
        </is>
      </c>
      <c r="K241" t="inlineStr">
        <is>
          <t>Campbell, Robert E. (Robert Edward), 1924-, editor.</t>
        </is>
      </c>
      <c r="L241" t="inlineStr">
        <is>
          <t>Maryknoll, N. Y. : Maryknoll Publications, [c1965]</t>
        </is>
      </c>
      <c r="M241" t="inlineStr">
        <is>
          <t>1965</t>
        </is>
      </c>
      <c r="O241" t="inlineStr">
        <is>
          <t>eng</t>
        </is>
      </c>
      <c r="P241" t="inlineStr">
        <is>
          <t>nyu</t>
        </is>
      </c>
      <c r="R241" t="inlineStr">
        <is>
          <t xml:space="preserve">BV </t>
        </is>
      </c>
      <c r="S241" t="n">
        <v>3</v>
      </c>
      <c r="T241" t="n">
        <v>3</v>
      </c>
      <c r="U241" t="inlineStr">
        <is>
          <t>1996-07-18</t>
        </is>
      </c>
      <c r="V241" t="inlineStr">
        <is>
          <t>1996-07-18</t>
        </is>
      </c>
      <c r="W241" t="inlineStr">
        <is>
          <t>1992-02-06</t>
        </is>
      </c>
      <c r="X241" t="inlineStr">
        <is>
          <t>1992-02-06</t>
        </is>
      </c>
      <c r="Y241" t="n">
        <v>100</v>
      </c>
      <c r="Z241" t="n">
        <v>87</v>
      </c>
      <c r="AA241" t="n">
        <v>92</v>
      </c>
      <c r="AB241" t="n">
        <v>1</v>
      </c>
      <c r="AC241" t="n">
        <v>1</v>
      </c>
      <c r="AD241" t="n">
        <v>11</v>
      </c>
      <c r="AE241" t="n">
        <v>11</v>
      </c>
      <c r="AF241" t="n">
        <v>2</v>
      </c>
      <c r="AG241" t="n">
        <v>2</v>
      </c>
      <c r="AH241" t="n">
        <v>3</v>
      </c>
      <c r="AI241" t="n">
        <v>3</v>
      </c>
      <c r="AJ241" t="n">
        <v>8</v>
      </c>
      <c r="AK241" t="n">
        <v>8</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HYPERLINK("https://creighton-primo.hosted.exlibrisgroup.com/primo-explore/search?tab=default_tab&amp;search_scope=EVERYTHING&amp;vid=01CRU&amp;lang=en_US&amp;offset=0&amp;query=any,contains,991004571179702656","Catalog Record")</f>
        <v/>
      </c>
      <c r="AT241">
        <f>HYPERLINK("http://www.worldcat.org/oclc/4030134","WorldCat Record")</f>
        <v/>
      </c>
      <c r="AU241" t="inlineStr">
        <is>
          <t>346990925:eng</t>
        </is>
      </c>
      <c r="AV241" t="inlineStr">
        <is>
          <t>4030134</t>
        </is>
      </c>
      <c r="AW241" t="inlineStr">
        <is>
          <t>991004571179702656</t>
        </is>
      </c>
      <c r="AX241" t="inlineStr">
        <is>
          <t>991004571179702656</t>
        </is>
      </c>
      <c r="AY241" t="inlineStr">
        <is>
          <t>2258693760002656</t>
        </is>
      </c>
      <c r="AZ241" t="inlineStr">
        <is>
          <t>BOOK</t>
        </is>
      </c>
      <c r="BC241" t="inlineStr">
        <is>
          <t>32285000927664</t>
        </is>
      </c>
      <c r="BD241" t="inlineStr">
        <is>
          <t>893536068</t>
        </is>
      </c>
    </row>
    <row r="242">
      <c r="A242" t="inlineStr">
        <is>
          <t>No</t>
        </is>
      </c>
      <c r="B242" t="inlineStr">
        <is>
          <t>BV2180 .C37 1990</t>
        </is>
      </c>
      <c r="C242" t="inlineStr">
        <is>
          <t>0                      BV 2180000C  37          1990</t>
        </is>
      </c>
      <c r="D242" t="inlineStr">
        <is>
          <t>Encyclical letter Redemptoris missio of the supreme pontiff John Paul II on the permanent validity of the church's missionary mandate.</t>
        </is>
      </c>
      <c r="F242" t="inlineStr">
        <is>
          <t>No</t>
        </is>
      </c>
      <c r="G242" t="inlineStr">
        <is>
          <t>1</t>
        </is>
      </c>
      <c r="H242" t="inlineStr">
        <is>
          <t>No</t>
        </is>
      </c>
      <c r="I242" t="inlineStr">
        <is>
          <t>No</t>
        </is>
      </c>
      <c r="J242" t="inlineStr">
        <is>
          <t>0</t>
        </is>
      </c>
      <c r="K242" t="inlineStr">
        <is>
          <t>Catholic Church. Pope (1978-2005 : John Paul II).</t>
        </is>
      </c>
      <c r="L242" t="inlineStr">
        <is>
          <t>[Washington, D.C. : United States Catholic Conference, 1990].</t>
        </is>
      </c>
      <c r="M242" t="inlineStr">
        <is>
          <t>1990</t>
        </is>
      </c>
      <c r="O242" t="inlineStr">
        <is>
          <t>eng</t>
        </is>
      </c>
      <c r="P242" t="inlineStr">
        <is>
          <t>dcu</t>
        </is>
      </c>
      <c r="Q242" t="inlineStr">
        <is>
          <t>Publication / Office for Publishing and Promotion Services, United States Catholic Conference ; no. 424-4</t>
        </is>
      </c>
      <c r="R242" t="inlineStr">
        <is>
          <t xml:space="preserve">BV </t>
        </is>
      </c>
      <c r="S242" t="n">
        <v>5</v>
      </c>
      <c r="T242" t="n">
        <v>5</v>
      </c>
      <c r="U242" t="inlineStr">
        <is>
          <t>2002-07-23</t>
        </is>
      </c>
      <c r="V242" t="inlineStr">
        <is>
          <t>2002-07-23</t>
        </is>
      </c>
      <c r="W242" t="inlineStr">
        <is>
          <t>1991-04-30</t>
        </is>
      </c>
      <c r="X242" t="inlineStr">
        <is>
          <t>1991-04-30</t>
        </is>
      </c>
      <c r="Y242" t="n">
        <v>149</v>
      </c>
      <c r="Z242" t="n">
        <v>146</v>
      </c>
      <c r="AA242" t="n">
        <v>181</v>
      </c>
      <c r="AB242" t="n">
        <v>2</v>
      </c>
      <c r="AC242" t="n">
        <v>3</v>
      </c>
      <c r="AD242" t="n">
        <v>21</v>
      </c>
      <c r="AE242" t="n">
        <v>23</v>
      </c>
      <c r="AF242" t="n">
        <v>6</v>
      </c>
      <c r="AG242" t="n">
        <v>7</v>
      </c>
      <c r="AH242" t="n">
        <v>6</v>
      </c>
      <c r="AI242" t="n">
        <v>7</v>
      </c>
      <c r="AJ242" t="n">
        <v>17</v>
      </c>
      <c r="AK242" t="n">
        <v>18</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HYPERLINK("https://creighton-primo.hosted.exlibrisgroup.com/primo-explore/search?tab=default_tab&amp;search_scope=EVERYTHING&amp;vid=01CRU&amp;lang=en_US&amp;offset=0&amp;query=any,contains,991001864249702656","Catalog Record")</f>
        <v/>
      </c>
      <c r="AT242">
        <f>HYPERLINK("http://www.worldcat.org/oclc/23449518","WorldCat Record")</f>
        <v/>
      </c>
      <c r="AU242" t="inlineStr">
        <is>
          <t>2908605061:eng</t>
        </is>
      </c>
      <c r="AV242" t="inlineStr">
        <is>
          <t>23449518</t>
        </is>
      </c>
      <c r="AW242" t="inlineStr">
        <is>
          <t>991001864249702656</t>
        </is>
      </c>
      <c r="AX242" t="inlineStr">
        <is>
          <t>991001864249702656</t>
        </is>
      </c>
      <c r="AY242" t="inlineStr">
        <is>
          <t>2269873200002656</t>
        </is>
      </c>
      <c r="AZ242" t="inlineStr">
        <is>
          <t>BOOK</t>
        </is>
      </c>
      <c r="BB242" t="inlineStr">
        <is>
          <t>9781555864248</t>
        </is>
      </c>
      <c r="BC242" t="inlineStr">
        <is>
          <t>32285000538800</t>
        </is>
      </c>
      <c r="BD242" t="inlineStr">
        <is>
          <t>893232331</t>
        </is>
      </c>
    </row>
    <row r="243">
      <c r="A243" t="inlineStr">
        <is>
          <t>No</t>
        </is>
      </c>
      <c r="B243" t="inlineStr">
        <is>
          <t>BV2180 .C588 1998</t>
        </is>
      </c>
      <c r="C243" t="inlineStr">
        <is>
          <t>0                      BV 2180000C  588         1998</t>
        </is>
      </c>
      <c r="D243" t="inlineStr">
        <is>
          <t>From complicity to encounter : the church and the culture of economism / Jane Collier, Rafael Esteban.</t>
        </is>
      </c>
      <c r="F243" t="inlineStr">
        <is>
          <t>No</t>
        </is>
      </c>
      <c r="G243" t="inlineStr">
        <is>
          <t>1</t>
        </is>
      </c>
      <c r="H243" t="inlineStr">
        <is>
          <t>No</t>
        </is>
      </c>
      <c r="I243" t="inlineStr">
        <is>
          <t>No</t>
        </is>
      </c>
      <c r="J243" t="inlineStr">
        <is>
          <t>0</t>
        </is>
      </c>
      <c r="K243" t="inlineStr">
        <is>
          <t>Collier, Jane, 1936-</t>
        </is>
      </c>
      <c r="L243" t="inlineStr">
        <is>
          <t>Harrisburg, Pa. : Trinity Press International, c1998.</t>
        </is>
      </c>
      <c r="M243" t="inlineStr">
        <is>
          <t>1998</t>
        </is>
      </c>
      <c r="O243" t="inlineStr">
        <is>
          <t>eng</t>
        </is>
      </c>
      <c r="P243" t="inlineStr">
        <is>
          <t>pau</t>
        </is>
      </c>
      <c r="Q243" t="inlineStr">
        <is>
          <t>Christian mission and modern culture</t>
        </is>
      </c>
      <c r="R243" t="inlineStr">
        <is>
          <t xml:space="preserve">BV </t>
        </is>
      </c>
      <c r="S243" t="n">
        <v>1</v>
      </c>
      <c r="T243" t="n">
        <v>1</v>
      </c>
      <c r="U243" t="inlineStr">
        <is>
          <t>2007-08-27</t>
        </is>
      </c>
      <c r="V243" t="inlineStr">
        <is>
          <t>2007-08-27</t>
        </is>
      </c>
      <c r="W243" t="inlineStr">
        <is>
          <t>2007-08-27</t>
        </is>
      </c>
      <c r="X243" t="inlineStr">
        <is>
          <t>2007-08-27</t>
        </is>
      </c>
      <c r="Y243" t="n">
        <v>162</v>
      </c>
      <c r="Z243" t="n">
        <v>134</v>
      </c>
      <c r="AA243" t="n">
        <v>134</v>
      </c>
      <c r="AB243" t="n">
        <v>1</v>
      </c>
      <c r="AC243" t="n">
        <v>1</v>
      </c>
      <c r="AD243" t="n">
        <v>10</v>
      </c>
      <c r="AE243" t="n">
        <v>10</v>
      </c>
      <c r="AF243" t="n">
        <v>5</v>
      </c>
      <c r="AG243" t="n">
        <v>5</v>
      </c>
      <c r="AH243" t="n">
        <v>2</v>
      </c>
      <c r="AI243" t="n">
        <v>2</v>
      </c>
      <c r="AJ243" t="n">
        <v>5</v>
      </c>
      <c r="AK243" t="n">
        <v>5</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HYPERLINK("https://creighton-primo.hosted.exlibrisgroup.com/primo-explore/search?tab=default_tab&amp;search_scope=EVERYTHING&amp;vid=01CRU&amp;lang=en_US&amp;offset=0&amp;query=any,contains,991005057229702656","Catalog Record")</f>
        <v/>
      </c>
      <c r="AT243">
        <f>HYPERLINK("http://www.worldcat.org/oclc/40193730","WorldCat Record")</f>
        <v/>
      </c>
      <c r="AU243" t="inlineStr">
        <is>
          <t>140889107:eng</t>
        </is>
      </c>
      <c r="AV243" t="inlineStr">
        <is>
          <t>40193730</t>
        </is>
      </c>
      <c r="AW243" t="inlineStr">
        <is>
          <t>991005057229702656</t>
        </is>
      </c>
      <c r="AX243" t="inlineStr">
        <is>
          <t>991005057229702656</t>
        </is>
      </c>
      <c r="AY243" t="inlineStr">
        <is>
          <t>2266952340002656</t>
        </is>
      </c>
      <c r="AZ243" t="inlineStr">
        <is>
          <t>BOOK</t>
        </is>
      </c>
      <c r="BB243" t="inlineStr">
        <is>
          <t>9781563382604</t>
        </is>
      </c>
      <c r="BC243" t="inlineStr">
        <is>
          <t>32285005322754</t>
        </is>
      </c>
      <c r="BD243" t="inlineStr">
        <is>
          <t>893344572</t>
        </is>
      </c>
    </row>
    <row r="244">
      <c r="A244" t="inlineStr">
        <is>
          <t>No</t>
        </is>
      </c>
      <c r="B244" t="inlineStr">
        <is>
          <t>BV2180 .C653 1960</t>
        </is>
      </c>
      <c r="C244" t="inlineStr">
        <is>
          <t>0                      BV 2180000C  653         1960</t>
        </is>
      </c>
      <c r="D244" t="inlineStr">
        <is>
          <t>The mission of the church / Charles Couturier ; translated from the French by A. V. Littledale.</t>
        </is>
      </c>
      <c r="F244" t="inlineStr">
        <is>
          <t>No</t>
        </is>
      </c>
      <c r="G244" t="inlineStr">
        <is>
          <t>1</t>
        </is>
      </c>
      <c r="H244" t="inlineStr">
        <is>
          <t>No</t>
        </is>
      </c>
      <c r="I244" t="inlineStr">
        <is>
          <t>No</t>
        </is>
      </c>
      <c r="J244" t="inlineStr">
        <is>
          <t>0</t>
        </is>
      </c>
      <c r="K244" t="inlineStr">
        <is>
          <t>Couturier, Charles.</t>
        </is>
      </c>
      <c r="L244" t="inlineStr">
        <is>
          <t>Baltimore : Helicon Press, [1960]</t>
        </is>
      </c>
      <c r="M244" t="inlineStr">
        <is>
          <t>1960</t>
        </is>
      </c>
      <c r="O244" t="inlineStr">
        <is>
          <t>eng</t>
        </is>
      </c>
      <c r="P244" t="inlineStr">
        <is>
          <t>mdu</t>
        </is>
      </c>
      <c r="R244" t="inlineStr">
        <is>
          <t xml:space="preserve">BV </t>
        </is>
      </c>
      <c r="S244" t="n">
        <v>2</v>
      </c>
      <c r="T244" t="n">
        <v>2</v>
      </c>
      <c r="U244" t="inlineStr">
        <is>
          <t>2000-10-18</t>
        </is>
      </c>
      <c r="V244" t="inlineStr">
        <is>
          <t>2000-10-18</t>
        </is>
      </c>
      <c r="W244" t="inlineStr">
        <is>
          <t>1992-02-06</t>
        </is>
      </c>
      <c r="X244" t="inlineStr">
        <is>
          <t>1992-02-06</t>
        </is>
      </c>
      <c r="Y244" t="n">
        <v>174</v>
      </c>
      <c r="Z244" t="n">
        <v>140</v>
      </c>
      <c r="AA244" t="n">
        <v>143</v>
      </c>
      <c r="AB244" t="n">
        <v>3</v>
      </c>
      <c r="AC244" t="n">
        <v>3</v>
      </c>
      <c r="AD244" t="n">
        <v>25</v>
      </c>
      <c r="AE244" t="n">
        <v>25</v>
      </c>
      <c r="AF244" t="n">
        <v>9</v>
      </c>
      <c r="AG244" t="n">
        <v>9</v>
      </c>
      <c r="AH244" t="n">
        <v>7</v>
      </c>
      <c r="AI244" t="n">
        <v>7</v>
      </c>
      <c r="AJ244" t="n">
        <v>19</v>
      </c>
      <c r="AK244" t="n">
        <v>19</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HYPERLINK("https://creighton-primo.hosted.exlibrisgroup.com/primo-explore/search?tab=default_tab&amp;search_scope=EVERYTHING&amp;vid=01CRU&amp;lang=en_US&amp;offset=0&amp;query=any,contains,991004125149702656","Catalog Record")</f>
        <v/>
      </c>
      <c r="AT244">
        <f>HYPERLINK("http://www.worldcat.org/oclc/2453257","WorldCat Record")</f>
        <v/>
      </c>
      <c r="AU244" t="inlineStr">
        <is>
          <t>2452560857:eng</t>
        </is>
      </c>
      <c r="AV244" t="inlineStr">
        <is>
          <t>2453257</t>
        </is>
      </c>
      <c r="AW244" t="inlineStr">
        <is>
          <t>991004125149702656</t>
        </is>
      </c>
      <c r="AX244" t="inlineStr">
        <is>
          <t>991004125149702656</t>
        </is>
      </c>
      <c r="AY244" t="inlineStr">
        <is>
          <t>2270857240002656</t>
        </is>
      </c>
      <c r="AZ244" t="inlineStr">
        <is>
          <t>BOOK</t>
        </is>
      </c>
      <c r="BC244" t="inlineStr">
        <is>
          <t>32285000927706</t>
        </is>
      </c>
      <c r="BD244" t="inlineStr">
        <is>
          <t>893712184</t>
        </is>
      </c>
    </row>
    <row r="245">
      <c r="A245" t="inlineStr">
        <is>
          <t>No</t>
        </is>
      </c>
      <c r="B245" t="inlineStr">
        <is>
          <t>BV2180 .C9</t>
        </is>
      </c>
      <c r="C245" t="inlineStr">
        <is>
          <t>0                      BV 2180000C  9</t>
        </is>
      </c>
      <c r="D245" t="inlineStr">
        <is>
          <t>The missions in war and peace / Richard J. Cushing.</t>
        </is>
      </c>
      <c r="F245" t="inlineStr">
        <is>
          <t>No</t>
        </is>
      </c>
      <c r="G245" t="inlineStr">
        <is>
          <t>1</t>
        </is>
      </c>
      <c r="H245" t="inlineStr">
        <is>
          <t>No</t>
        </is>
      </c>
      <c r="I245" t="inlineStr">
        <is>
          <t>No</t>
        </is>
      </c>
      <c r="J245" t="inlineStr">
        <is>
          <t>0</t>
        </is>
      </c>
      <c r="K245" t="inlineStr">
        <is>
          <t>Cushing, Richard, 1895-1970.</t>
        </is>
      </c>
      <c r="L245" t="inlineStr">
        <is>
          <t>Boston : The Society for the Propagation of the Faith, [1944?]</t>
        </is>
      </c>
      <c r="M245" t="inlineStr">
        <is>
          <t>1944</t>
        </is>
      </c>
      <c r="O245" t="inlineStr">
        <is>
          <t>eng</t>
        </is>
      </c>
      <c r="P245" t="inlineStr">
        <is>
          <t>xxu</t>
        </is>
      </c>
      <c r="R245" t="inlineStr">
        <is>
          <t xml:space="preserve">BV </t>
        </is>
      </c>
      <c r="S245" t="n">
        <v>2</v>
      </c>
      <c r="T245" t="n">
        <v>2</v>
      </c>
      <c r="U245" t="inlineStr">
        <is>
          <t>2003-11-30</t>
        </is>
      </c>
      <c r="V245" t="inlineStr">
        <is>
          <t>2003-11-30</t>
        </is>
      </c>
      <c r="W245" t="inlineStr">
        <is>
          <t>1992-02-06</t>
        </is>
      </c>
      <c r="X245" t="inlineStr">
        <is>
          <t>1992-02-06</t>
        </is>
      </c>
      <c r="Y245" t="n">
        <v>45</v>
      </c>
      <c r="Z245" t="n">
        <v>39</v>
      </c>
      <c r="AA245" t="n">
        <v>39</v>
      </c>
      <c r="AB245" t="n">
        <v>1</v>
      </c>
      <c r="AC245" t="n">
        <v>1</v>
      </c>
      <c r="AD245" t="n">
        <v>7</v>
      </c>
      <c r="AE245" t="n">
        <v>7</v>
      </c>
      <c r="AF245" t="n">
        <v>0</v>
      </c>
      <c r="AG245" t="n">
        <v>0</v>
      </c>
      <c r="AH245" t="n">
        <v>3</v>
      </c>
      <c r="AI245" t="n">
        <v>3</v>
      </c>
      <c r="AJ245" t="n">
        <v>4</v>
      </c>
      <c r="AK245" t="n">
        <v>4</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HYPERLINK("https://creighton-primo.hosted.exlibrisgroup.com/primo-explore/search?tab=default_tab&amp;search_scope=EVERYTHING&amp;vid=01CRU&amp;lang=en_US&amp;offset=0&amp;query=any,contains,991004518829702656","Catalog Record")</f>
        <v/>
      </c>
      <c r="AT245">
        <f>HYPERLINK("http://www.worldcat.org/oclc/3801723","WorldCat Record")</f>
        <v/>
      </c>
      <c r="AU245" t="inlineStr">
        <is>
          <t>192240492:eng</t>
        </is>
      </c>
      <c r="AV245" t="inlineStr">
        <is>
          <t>3801723</t>
        </is>
      </c>
      <c r="AW245" t="inlineStr">
        <is>
          <t>991004518829702656</t>
        </is>
      </c>
      <c r="AX245" t="inlineStr">
        <is>
          <t>991004518829702656</t>
        </is>
      </c>
      <c r="AY245" t="inlineStr">
        <is>
          <t>2263262590002656</t>
        </is>
      </c>
      <c r="AZ245" t="inlineStr">
        <is>
          <t>BOOK</t>
        </is>
      </c>
      <c r="BC245" t="inlineStr">
        <is>
          <t>32285000927714</t>
        </is>
      </c>
      <c r="BD245" t="inlineStr">
        <is>
          <t>893719014</t>
        </is>
      </c>
    </row>
    <row r="246">
      <c r="A246" t="inlineStr">
        <is>
          <t>No</t>
        </is>
      </c>
      <c r="B246" t="inlineStr">
        <is>
          <t>BV2180 .G58 1989</t>
        </is>
      </c>
      <c r="C246" t="inlineStr">
        <is>
          <t>0                      BV 2180000G  58          1989</t>
        </is>
      </c>
      <c r="D246" t="inlineStr">
        <is>
          <t>Gifts and strangers : meeting the challenge of inculturation / Anthony J. Gittins.</t>
        </is>
      </c>
      <c r="F246" t="inlineStr">
        <is>
          <t>No</t>
        </is>
      </c>
      <c r="G246" t="inlineStr">
        <is>
          <t>1</t>
        </is>
      </c>
      <c r="H246" t="inlineStr">
        <is>
          <t>No</t>
        </is>
      </c>
      <c r="I246" t="inlineStr">
        <is>
          <t>No</t>
        </is>
      </c>
      <c r="J246" t="inlineStr">
        <is>
          <t>0</t>
        </is>
      </c>
      <c r="K246" t="inlineStr">
        <is>
          <t>Gittins, Anthony J., 1943-</t>
        </is>
      </c>
      <c r="L246" t="inlineStr">
        <is>
          <t>New York : Paulist Press, c1989.</t>
        </is>
      </c>
      <c r="M246" t="inlineStr">
        <is>
          <t>1989</t>
        </is>
      </c>
      <c r="O246" t="inlineStr">
        <is>
          <t>eng</t>
        </is>
      </c>
      <c r="P246" t="inlineStr">
        <is>
          <t>nyu</t>
        </is>
      </c>
      <c r="R246" t="inlineStr">
        <is>
          <t xml:space="preserve">BV </t>
        </is>
      </c>
      <c r="S246" t="n">
        <v>3</v>
      </c>
      <c r="T246" t="n">
        <v>3</v>
      </c>
      <c r="U246" t="inlineStr">
        <is>
          <t>1994-12-16</t>
        </is>
      </c>
      <c r="V246" t="inlineStr">
        <is>
          <t>1994-12-16</t>
        </is>
      </c>
      <c r="W246" t="inlineStr">
        <is>
          <t>1991-02-22</t>
        </is>
      </c>
      <c r="X246" t="inlineStr">
        <is>
          <t>1991-02-22</t>
        </is>
      </c>
      <c r="Y246" t="n">
        <v>243</v>
      </c>
      <c r="Z246" t="n">
        <v>195</v>
      </c>
      <c r="AA246" t="n">
        <v>200</v>
      </c>
      <c r="AB246" t="n">
        <v>2</v>
      </c>
      <c r="AC246" t="n">
        <v>2</v>
      </c>
      <c r="AD246" t="n">
        <v>16</v>
      </c>
      <c r="AE246" t="n">
        <v>16</v>
      </c>
      <c r="AF246" t="n">
        <v>4</v>
      </c>
      <c r="AG246" t="n">
        <v>4</v>
      </c>
      <c r="AH246" t="n">
        <v>6</v>
      </c>
      <c r="AI246" t="n">
        <v>6</v>
      </c>
      <c r="AJ246" t="n">
        <v>10</v>
      </c>
      <c r="AK246" t="n">
        <v>10</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HYPERLINK("https://creighton-primo.hosted.exlibrisgroup.com/primo-explore/search?tab=default_tab&amp;search_scope=EVERYTHING&amp;vid=01CRU&amp;lang=en_US&amp;offset=0&amp;query=any,contains,991001508519702656","Catalog Record")</f>
        <v/>
      </c>
      <c r="AT246">
        <f>HYPERLINK("http://www.worldcat.org/oclc/19850494","WorldCat Record")</f>
        <v/>
      </c>
      <c r="AU246" t="inlineStr">
        <is>
          <t>368063288:eng</t>
        </is>
      </c>
      <c r="AV246" t="inlineStr">
        <is>
          <t>19850494</t>
        </is>
      </c>
      <c r="AW246" t="inlineStr">
        <is>
          <t>991001508519702656</t>
        </is>
      </c>
      <c r="AX246" t="inlineStr">
        <is>
          <t>991001508519702656</t>
        </is>
      </c>
      <c r="AY246" t="inlineStr">
        <is>
          <t>2271790180002656</t>
        </is>
      </c>
      <c r="AZ246" t="inlineStr">
        <is>
          <t>BOOK</t>
        </is>
      </c>
      <c r="BB246" t="inlineStr">
        <is>
          <t>9780809130887</t>
        </is>
      </c>
      <c r="BC246" t="inlineStr">
        <is>
          <t>32285000492719</t>
        </is>
      </c>
      <c r="BD246" t="inlineStr">
        <is>
          <t>893772633</t>
        </is>
      </c>
    </row>
    <row r="247">
      <c r="A247" t="inlineStr">
        <is>
          <t>No</t>
        </is>
      </c>
      <c r="B247" t="inlineStr">
        <is>
          <t>BV2180 .M84 1958</t>
        </is>
      </c>
      <c r="C247" t="inlineStr">
        <is>
          <t>0                      BV 2180000M  84          1958</t>
        </is>
      </c>
      <c r="D247" t="inlineStr">
        <is>
          <t>Teach ye all nations : the principles of Catholic missionary work / by Edward L. Murphy.</t>
        </is>
      </c>
      <c r="F247" t="inlineStr">
        <is>
          <t>No</t>
        </is>
      </c>
      <c r="G247" t="inlineStr">
        <is>
          <t>1</t>
        </is>
      </c>
      <c r="H247" t="inlineStr">
        <is>
          <t>No</t>
        </is>
      </c>
      <c r="I247" t="inlineStr">
        <is>
          <t>No</t>
        </is>
      </c>
      <c r="J247" t="inlineStr">
        <is>
          <t>0</t>
        </is>
      </c>
      <c r="K247" t="inlineStr">
        <is>
          <t>Murphy, Edward L.</t>
        </is>
      </c>
      <c r="L247" t="inlineStr">
        <is>
          <t>New York : Benziger Bros., [1958]</t>
        </is>
      </c>
      <c r="M247" t="inlineStr">
        <is>
          <t>1958</t>
        </is>
      </c>
      <c r="O247" t="inlineStr">
        <is>
          <t>eng</t>
        </is>
      </c>
      <c r="P247" t="inlineStr">
        <is>
          <t>nyu</t>
        </is>
      </c>
      <c r="R247" t="inlineStr">
        <is>
          <t xml:space="preserve">BV </t>
        </is>
      </c>
      <c r="S247" t="n">
        <v>2</v>
      </c>
      <c r="T247" t="n">
        <v>2</v>
      </c>
      <c r="U247" t="inlineStr">
        <is>
          <t>2001-09-13</t>
        </is>
      </c>
      <c r="V247" t="inlineStr">
        <is>
          <t>2001-09-13</t>
        </is>
      </c>
      <c r="W247" t="inlineStr">
        <is>
          <t>1992-02-06</t>
        </is>
      </c>
      <c r="X247" t="inlineStr">
        <is>
          <t>1992-02-06</t>
        </is>
      </c>
      <c r="Y247" t="n">
        <v>114</v>
      </c>
      <c r="Z247" t="n">
        <v>101</v>
      </c>
      <c r="AA247" t="n">
        <v>106</v>
      </c>
      <c r="AB247" t="n">
        <v>1</v>
      </c>
      <c r="AC247" t="n">
        <v>1</v>
      </c>
      <c r="AD247" t="n">
        <v>17</v>
      </c>
      <c r="AE247" t="n">
        <v>17</v>
      </c>
      <c r="AF247" t="n">
        <v>5</v>
      </c>
      <c r="AG247" t="n">
        <v>5</v>
      </c>
      <c r="AH247" t="n">
        <v>6</v>
      </c>
      <c r="AI247" t="n">
        <v>6</v>
      </c>
      <c r="AJ247" t="n">
        <v>14</v>
      </c>
      <c r="AK247" t="n">
        <v>14</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HYPERLINK("https://creighton-primo.hosted.exlibrisgroup.com/primo-explore/search?tab=default_tab&amp;search_scope=EVERYTHING&amp;vid=01CRU&amp;lang=en_US&amp;offset=0&amp;query=any,contains,991004221039702656","Catalog Record")</f>
        <v/>
      </c>
      <c r="AT247">
        <f>HYPERLINK("http://www.worldcat.org/oclc/2712628","WorldCat Record")</f>
        <v/>
      </c>
      <c r="AU247" t="inlineStr">
        <is>
          <t>5879859:eng</t>
        </is>
      </c>
      <c r="AV247" t="inlineStr">
        <is>
          <t>2712628</t>
        </is>
      </c>
      <c r="AW247" t="inlineStr">
        <is>
          <t>991004221039702656</t>
        </is>
      </c>
      <c r="AX247" t="inlineStr">
        <is>
          <t>991004221039702656</t>
        </is>
      </c>
      <c r="AY247" t="inlineStr">
        <is>
          <t>2267371800002656</t>
        </is>
      </c>
      <c r="AZ247" t="inlineStr">
        <is>
          <t>BOOK</t>
        </is>
      </c>
      <c r="BC247" t="inlineStr">
        <is>
          <t>32285000927797</t>
        </is>
      </c>
      <c r="BD247" t="inlineStr">
        <is>
          <t>893525818</t>
        </is>
      </c>
    </row>
    <row r="248">
      <c r="A248" t="inlineStr">
        <is>
          <t>No</t>
        </is>
      </c>
      <c r="B248" t="inlineStr">
        <is>
          <t>BV2180 .S5 1963</t>
        </is>
      </c>
      <c r="C248" t="inlineStr">
        <is>
          <t>0                      BV 2180000S  5           1963</t>
        </is>
      </c>
      <c r="D248" t="inlineStr">
        <is>
          <t>Missions and the world crisis / Fulton J. Sheen.</t>
        </is>
      </c>
      <c r="F248" t="inlineStr">
        <is>
          <t>No</t>
        </is>
      </c>
      <c r="G248" t="inlineStr">
        <is>
          <t>1</t>
        </is>
      </c>
      <c r="H248" t="inlineStr">
        <is>
          <t>No</t>
        </is>
      </c>
      <c r="I248" t="inlineStr">
        <is>
          <t>No</t>
        </is>
      </c>
      <c r="J248" t="inlineStr">
        <is>
          <t>0</t>
        </is>
      </c>
      <c r="K248" t="inlineStr">
        <is>
          <t>Sheen, Fulton J. (Fulton John), 1895-1979.</t>
        </is>
      </c>
      <c r="L248" t="inlineStr">
        <is>
          <t>Milwaukee : Bruce Pub. Co., [c1963]</t>
        </is>
      </c>
      <c r="M248" t="inlineStr">
        <is>
          <t>1963</t>
        </is>
      </c>
      <c r="O248" t="inlineStr">
        <is>
          <t>eng</t>
        </is>
      </c>
      <c r="P248" t="inlineStr">
        <is>
          <t>wiu</t>
        </is>
      </c>
      <c r="R248" t="inlineStr">
        <is>
          <t xml:space="preserve">BV </t>
        </is>
      </c>
      <c r="S248" t="n">
        <v>2</v>
      </c>
      <c r="T248" t="n">
        <v>2</v>
      </c>
      <c r="U248" t="inlineStr">
        <is>
          <t>1996-07-18</t>
        </is>
      </c>
      <c r="V248" t="inlineStr">
        <is>
          <t>1996-07-18</t>
        </is>
      </c>
      <c r="W248" t="inlineStr">
        <is>
          <t>1992-02-06</t>
        </is>
      </c>
      <c r="X248" t="inlineStr">
        <is>
          <t>1992-02-06</t>
        </is>
      </c>
      <c r="Y248" t="n">
        <v>186</v>
      </c>
      <c r="Z248" t="n">
        <v>168</v>
      </c>
      <c r="AA248" t="n">
        <v>174</v>
      </c>
      <c r="AB248" t="n">
        <v>3</v>
      </c>
      <c r="AC248" t="n">
        <v>3</v>
      </c>
      <c r="AD248" t="n">
        <v>21</v>
      </c>
      <c r="AE248" t="n">
        <v>21</v>
      </c>
      <c r="AF248" t="n">
        <v>5</v>
      </c>
      <c r="AG248" t="n">
        <v>5</v>
      </c>
      <c r="AH248" t="n">
        <v>6</v>
      </c>
      <c r="AI248" t="n">
        <v>6</v>
      </c>
      <c r="AJ248" t="n">
        <v>16</v>
      </c>
      <c r="AK248" t="n">
        <v>16</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HYPERLINK("https://creighton-primo.hosted.exlibrisgroup.com/primo-explore/search?tab=default_tab&amp;search_scope=EVERYTHING&amp;vid=01CRU&amp;lang=en_US&amp;offset=0&amp;query=any,contains,991003766149702656","Catalog Record")</f>
        <v/>
      </c>
      <c r="AT248">
        <f>HYPERLINK("http://www.worldcat.org/oclc/1459150","WorldCat Record")</f>
        <v/>
      </c>
      <c r="AU248" t="inlineStr">
        <is>
          <t>2314648:eng</t>
        </is>
      </c>
      <c r="AV248" t="inlineStr">
        <is>
          <t>1459150</t>
        </is>
      </c>
      <c r="AW248" t="inlineStr">
        <is>
          <t>991003766149702656</t>
        </is>
      </c>
      <c r="AX248" t="inlineStr">
        <is>
          <t>991003766149702656</t>
        </is>
      </c>
      <c r="AY248" t="inlineStr">
        <is>
          <t>2255198260002656</t>
        </is>
      </c>
      <c r="AZ248" t="inlineStr">
        <is>
          <t>BOOK</t>
        </is>
      </c>
      <c r="BC248" t="inlineStr">
        <is>
          <t>32285000927805</t>
        </is>
      </c>
      <c r="BD248" t="inlineStr">
        <is>
          <t>893900324</t>
        </is>
      </c>
    </row>
    <row r="249">
      <c r="A249" t="inlineStr">
        <is>
          <t>No</t>
        </is>
      </c>
      <c r="B249" t="inlineStr">
        <is>
          <t>BV2180 .T681 1999</t>
        </is>
      </c>
      <c r="C249" t="inlineStr">
        <is>
          <t>0                      BV 2180000T  681         1999</t>
        </is>
      </c>
      <c r="D249" t="inlineStr">
        <is>
          <t>Towards a pastoral approach to culture / Pontifical Council for Culture.</t>
        </is>
      </c>
      <c r="F249" t="inlineStr">
        <is>
          <t>No</t>
        </is>
      </c>
      <c r="G249" t="inlineStr">
        <is>
          <t>1</t>
        </is>
      </c>
      <c r="H249" t="inlineStr">
        <is>
          <t>No</t>
        </is>
      </c>
      <c r="I249" t="inlineStr">
        <is>
          <t>No</t>
        </is>
      </c>
      <c r="J249" t="inlineStr">
        <is>
          <t>0</t>
        </is>
      </c>
      <c r="K249" t="inlineStr">
        <is>
          <t>Catholic Church. Pontificium Consilium pro Cultura.</t>
        </is>
      </c>
      <c r="L249" t="inlineStr">
        <is>
          <t>Washington, D.C. : United States Catholic Conference, 1999.</t>
        </is>
      </c>
      <c r="M249" t="inlineStr">
        <is>
          <t>1999</t>
        </is>
      </c>
      <c r="O249" t="inlineStr">
        <is>
          <t>eng</t>
        </is>
      </c>
      <c r="P249" t="inlineStr">
        <is>
          <t>dcu</t>
        </is>
      </c>
      <c r="Q249" t="inlineStr">
        <is>
          <t>Publication (United States Catholic Conference) ; no. 5-349</t>
        </is>
      </c>
      <c r="R249" t="inlineStr">
        <is>
          <t xml:space="preserve">BV </t>
        </is>
      </c>
      <c r="S249" t="n">
        <v>1</v>
      </c>
      <c r="T249" t="n">
        <v>1</v>
      </c>
      <c r="U249" t="inlineStr">
        <is>
          <t>2006-03-09</t>
        </is>
      </c>
      <c r="V249" t="inlineStr">
        <is>
          <t>2006-03-09</t>
        </is>
      </c>
      <c r="W249" t="inlineStr">
        <is>
          <t>1999-09-22</t>
        </is>
      </c>
      <c r="X249" t="inlineStr">
        <is>
          <t>1999-09-22</t>
        </is>
      </c>
      <c r="Y249" t="n">
        <v>82</v>
      </c>
      <c r="Z249" t="n">
        <v>78</v>
      </c>
      <c r="AA249" t="n">
        <v>102</v>
      </c>
      <c r="AB249" t="n">
        <v>1</v>
      </c>
      <c r="AC249" t="n">
        <v>1</v>
      </c>
      <c r="AD249" t="n">
        <v>12</v>
      </c>
      <c r="AE249" t="n">
        <v>12</v>
      </c>
      <c r="AF249" t="n">
        <v>2</v>
      </c>
      <c r="AG249" t="n">
        <v>2</v>
      </c>
      <c r="AH249" t="n">
        <v>4</v>
      </c>
      <c r="AI249" t="n">
        <v>4</v>
      </c>
      <c r="AJ249" t="n">
        <v>9</v>
      </c>
      <c r="AK249" t="n">
        <v>9</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HYPERLINK("https://creighton-primo.hosted.exlibrisgroup.com/primo-explore/search?tab=default_tab&amp;search_scope=EVERYTHING&amp;vid=01CRU&amp;lang=en_US&amp;offset=0&amp;query=any,contains,991003042439702656","Catalog Record")</f>
        <v/>
      </c>
      <c r="AT249">
        <f>HYPERLINK("http://www.worldcat.org/oclc/42276619","WorldCat Record")</f>
        <v/>
      </c>
      <c r="AU249" t="inlineStr">
        <is>
          <t>2279593643:eng</t>
        </is>
      </c>
      <c r="AV249" t="inlineStr">
        <is>
          <t>42276619</t>
        </is>
      </c>
      <c r="AW249" t="inlineStr">
        <is>
          <t>991003042439702656</t>
        </is>
      </c>
      <c r="AX249" t="inlineStr">
        <is>
          <t>991003042439702656</t>
        </is>
      </c>
      <c r="AY249" t="inlineStr">
        <is>
          <t>2272674090002656</t>
        </is>
      </c>
      <c r="AZ249" t="inlineStr">
        <is>
          <t>BOOK</t>
        </is>
      </c>
      <c r="BB249" t="inlineStr">
        <is>
          <t>9781574553499</t>
        </is>
      </c>
      <c r="BC249" t="inlineStr">
        <is>
          <t>32285003590410</t>
        </is>
      </c>
      <c r="BD249" t="inlineStr">
        <is>
          <t>893592130</t>
        </is>
      </c>
    </row>
    <row r="250">
      <c r="A250" t="inlineStr">
        <is>
          <t>No</t>
        </is>
      </c>
      <c r="B250" t="inlineStr">
        <is>
          <t>BV2185 .G6 1932</t>
        </is>
      </c>
      <c r="C250" t="inlineStr">
        <is>
          <t>0                      BV 2185000G  6           1932</t>
        </is>
      </c>
      <c r="D250" t="inlineStr">
        <is>
          <t>Missions and missionaries / by Georges Goyau. Translated by the Rev. F.M. Dreves, S.S.J.</t>
        </is>
      </c>
      <c r="F250" t="inlineStr">
        <is>
          <t>No</t>
        </is>
      </c>
      <c r="G250" t="inlineStr">
        <is>
          <t>1</t>
        </is>
      </c>
      <c r="H250" t="inlineStr">
        <is>
          <t>No</t>
        </is>
      </c>
      <c r="I250" t="inlineStr">
        <is>
          <t>No</t>
        </is>
      </c>
      <c r="J250" t="inlineStr">
        <is>
          <t>0</t>
        </is>
      </c>
      <c r="K250" t="inlineStr">
        <is>
          <t>Goyau, Georges, 1869-1939.</t>
        </is>
      </c>
      <c r="L250" t="inlineStr">
        <is>
          <t>London and ; Edinburgh : Sands &amp; co., 1932.</t>
        </is>
      </c>
      <c r="M250" t="inlineStr">
        <is>
          <t>1932</t>
        </is>
      </c>
      <c r="O250" t="inlineStr">
        <is>
          <t>eng</t>
        </is>
      </c>
      <c r="P250" t="inlineStr">
        <is>
          <t>enk</t>
        </is>
      </c>
      <c r="R250" t="inlineStr">
        <is>
          <t xml:space="preserve">BV </t>
        </is>
      </c>
      <c r="S250" t="n">
        <v>1</v>
      </c>
      <c r="T250" t="n">
        <v>1</v>
      </c>
      <c r="U250" t="inlineStr">
        <is>
          <t>1992-12-10</t>
        </is>
      </c>
      <c r="V250" t="inlineStr">
        <is>
          <t>1992-12-10</t>
        </is>
      </c>
      <c r="W250" t="inlineStr">
        <is>
          <t>1992-02-06</t>
        </is>
      </c>
      <c r="X250" t="inlineStr">
        <is>
          <t>1992-02-06</t>
        </is>
      </c>
      <c r="Y250" t="n">
        <v>26</v>
      </c>
      <c r="Z250" t="n">
        <v>15</v>
      </c>
      <c r="AA250" t="n">
        <v>15</v>
      </c>
      <c r="AB250" t="n">
        <v>1</v>
      </c>
      <c r="AC250" t="n">
        <v>1</v>
      </c>
      <c r="AD250" t="n">
        <v>4</v>
      </c>
      <c r="AE250" t="n">
        <v>4</v>
      </c>
      <c r="AF250" t="n">
        <v>0</v>
      </c>
      <c r="AG250" t="n">
        <v>0</v>
      </c>
      <c r="AH250" t="n">
        <v>1</v>
      </c>
      <c r="AI250" t="n">
        <v>1</v>
      </c>
      <c r="AJ250" t="n">
        <v>4</v>
      </c>
      <c r="AK250" t="n">
        <v>4</v>
      </c>
      <c r="AL250" t="n">
        <v>0</v>
      </c>
      <c r="AM250" t="n">
        <v>0</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HYPERLINK("https://creighton-primo.hosted.exlibrisgroup.com/primo-explore/search?tab=default_tab&amp;search_scope=EVERYTHING&amp;vid=01CRU&amp;lang=en_US&amp;offset=0&amp;query=any,contains,991004996789702656","Catalog Record")</f>
        <v/>
      </c>
      <c r="AT250">
        <f>HYPERLINK("http://www.worldcat.org/oclc/6524781","WorldCat Record")</f>
        <v/>
      </c>
      <c r="AU250" t="inlineStr">
        <is>
          <t>430826333:eng</t>
        </is>
      </c>
      <c r="AV250" t="inlineStr">
        <is>
          <t>6524781</t>
        </is>
      </c>
      <c r="AW250" t="inlineStr">
        <is>
          <t>991004996789702656</t>
        </is>
      </c>
      <c r="AX250" t="inlineStr">
        <is>
          <t>991004996789702656</t>
        </is>
      </c>
      <c r="AY250" t="inlineStr">
        <is>
          <t>2259086100002656</t>
        </is>
      </c>
      <c r="AZ250" t="inlineStr">
        <is>
          <t>BOOK</t>
        </is>
      </c>
      <c r="BC250" t="inlineStr">
        <is>
          <t>32285000927847</t>
        </is>
      </c>
      <c r="BD250" t="inlineStr">
        <is>
          <t>893254309</t>
        </is>
      </c>
    </row>
    <row r="251">
      <c r="A251" t="inlineStr">
        <is>
          <t>No</t>
        </is>
      </c>
      <c r="B251" t="inlineStr">
        <is>
          <t>BV2185 .S34 1933</t>
        </is>
      </c>
      <c r="C251" t="inlineStr">
        <is>
          <t>0                      BV 2185000S  34          1933</t>
        </is>
      </c>
      <c r="D251" t="inlineStr">
        <is>
          <t>Catholic mission history / by Joseph Schmidlin ; a translation, edited by Matthias Braun.</t>
        </is>
      </c>
      <c r="F251" t="inlineStr">
        <is>
          <t>No</t>
        </is>
      </c>
      <c r="G251" t="inlineStr">
        <is>
          <t>1</t>
        </is>
      </c>
      <c r="H251" t="inlineStr">
        <is>
          <t>No</t>
        </is>
      </c>
      <c r="I251" t="inlineStr">
        <is>
          <t>No</t>
        </is>
      </c>
      <c r="J251" t="inlineStr">
        <is>
          <t>0</t>
        </is>
      </c>
      <c r="K251" t="inlineStr">
        <is>
          <t>Schmidlin, Josef, 1876-1944.</t>
        </is>
      </c>
      <c r="L251" t="inlineStr">
        <is>
          <t>Techny, Ill. : Mission press, S. V. D., 1933.</t>
        </is>
      </c>
      <c r="M251" t="inlineStr">
        <is>
          <t>1933</t>
        </is>
      </c>
      <c r="O251" t="inlineStr">
        <is>
          <t>eng</t>
        </is>
      </c>
      <c r="P251" t="inlineStr">
        <is>
          <t xml:space="preserve">xx </t>
        </is>
      </c>
      <c r="R251" t="inlineStr">
        <is>
          <t xml:space="preserve">BV </t>
        </is>
      </c>
      <c r="S251" t="n">
        <v>3</v>
      </c>
      <c r="T251" t="n">
        <v>3</v>
      </c>
      <c r="U251" t="inlineStr">
        <is>
          <t>2003-11-30</t>
        </is>
      </c>
      <c r="V251" t="inlineStr">
        <is>
          <t>2003-11-30</t>
        </is>
      </c>
      <c r="W251" t="inlineStr">
        <is>
          <t>1992-02-06</t>
        </is>
      </c>
      <c r="X251" t="inlineStr">
        <is>
          <t>1992-02-06</t>
        </is>
      </c>
      <c r="Y251" t="n">
        <v>135</v>
      </c>
      <c r="Z251" t="n">
        <v>121</v>
      </c>
      <c r="AA251" t="n">
        <v>126</v>
      </c>
      <c r="AB251" t="n">
        <v>2</v>
      </c>
      <c r="AC251" t="n">
        <v>2</v>
      </c>
      <c r="AD251" t="n">
        <v>17</v>
      </c>
      <c r="AE251" t="n">
        <v>17</v>
      </c>
      <c r="AF251" t="n">
        <v>3</v>
      </c>
      <c r="AG251" t="n">
        <v>3</v>
      </c>
      <c r="AH251" t="n">
        <v>6</v>
      </c>
      <c r="AI251" t="n">
        <v>6</v>
      </c>
      <c r="AJ251" t="n">
        <v>11</v>
      </c>
      <c r="AK251" t="n">
        <v>11</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HYPERLINK("https://creighton-primo.hosted.exlibrisgroup.com/primo-explore/search?tab=default_tab&amp;search_scope=EVERYTHING&amp;vid=01CRU&amp;lang=en_US&amp;offset=0&amp;query=any,contains,991003810039702656","Catalog Record")</f>
        <v/>
      </c>
      <c r="AT251">
        <f>HYPERLINK("http://www.worldcat.org/oclc/1535294","WorldCat Record")</f>
        <v/>
      </c>
      <c r="AU251" t="inlineStr">
        <is>
          <t>2420721:eng</t>
        </is>
      </c>
      <c r="AV251" t="inlineStr">
        <is>
          <t>1535294</t>
        </is>
      </c>
      <c r="AW251" t="inlineStr">
        <is>
          <t>991003810039702656</t>
        </is>
      </c>
      <c r="AX251" t="inlineStr">
        <is>
          <t>991003810039702656</t>
        </is>
      </c>
      <c r="AY251" t="inlineStr">
        <is>
          <t>2267511480002656</t>
        </is>
      </c>
      <c r="AZ251" t="inlineStr">
        <is>
          <t>BOOK</t>
        </is>
      </c>
      <c r="BC251" t="inlineStr">
        <is>
          <t>32285000927870</t>
        </is>
      </c>
      <c r="BD251" t="inlineStr">
        <is>
          <t>893686998</t>
        </is>
      </c>
    </row>
    <row r="252">
      <c r="A252" t="inlineStr">
        <is>
          <t>No</t>
        </is>
      </c>
      <c r="B252" t="inlineStr">
        <is>
          <t>BV225 .D8</t>
        </is>
      </c>
      <c r="C252" t="inlineStr">
        <is>
          <t>0                      BV 0225000D  8</t>
        </is>
      </c>
      <c r="D252" t="inlineStr">
        <is>
          <t>We cannot find words : the foundations of prayer / by Tad Dunne.</t>
        </is>
      </c>
      <c r="F252" t="inlineStr">
        <is>
          <t>No</t>
        </is>
      </c>
      <c r="G252" t="inlineStr">
        <is>
          <t>1</t>
        </is>
      </c>
      <c r="H252" t="inlineStr">
        <is>
          <t>No</t>
        </is>
      </c>
      <c r="I252" t="inlineStr">
        <is>
          <t>No</t>
        </is>
      </c>
      <c r="J252" t="inlineStr">
        <is>
          <t>0</t>
        </is>
      </c>
      <c r="K252" t="inlineStr">
        <is>
          <t>Dunne, Tad, 1938-</t>
        </is>
      </c>
      <c r="L252" t="inlineStr">
        <is>
          <t>Denville, N.J. : Dimensions Books, c1981.</t>
        </is>
      </c>
      <c r="M252" t="inlineStr">
        <is>
          <t>1981</t>
        </is>
      </c>
      <c r="N252" t="inlineStr">
        <is>
          <t>First English edition.</t>
        </is>
      </c>
      <c r="O252" t="inlineStr">
        <is>
          <t>eng</t>
        </is>
      </c>
      <c r="P252" t="inlineStr">
        <is>
          <t>nju</t>
        </is>
      </c>
      <c r="R252" t="inlineStr">
        <is>
          <t xml:space="preserve">BV </t>
        </is>
      </c>
      <c r="S252" t="n">
        <v>5</v>
      </c>
      <c r="T252" t="n">
        <v>5</v>
      </c>
      <c r="U252" t="inlineStr">
        <is>
          <t>2003-03-20</t>
        </is>
      </c>
      <c r="V252" t="inlineStr">
        <is>
          <t>2003-03-20</t>
        </is>
      </c>
      <c r="W252" t="inlineStr">
        <is>
          <t>1990-06-28</t>
        </is>
      </c>
      <c r="X252" t="inlineStr">
        <is>
          <t>1990-06-28</t>
        </is>
      </c>
      <c r="Y252" t="n">
        <v>119</v>
      </c>
      <c r="Z252" t="n">
        <v>98</v>
      </c>
      <c r="AA252" t="n">
        <v>103</v>
      </c>
      <c r="AB252" t="n">
        <v>3</v>
      </c>
      <c r="AC252" t="n">
        <v>3</v>
      </c>
      <c r="AD252" t="n">
        <v>12</v>
      </c>
      <c r="AE252" t="n">
        <v>12</v>
      </c>
      <c r="AF252" t="n">
        <v>0</v>
      </c>
      <c r="AG252" t="n">
        <v>0</v>
      </c>
      <c r="AH252" t="n">
        <v>2</v>
      </c>
      <c r="AI252" t="n">
        <v>2</v>
      </c>
      <c r="AJ252" t="n">
        <v>10</v>
      </c>
      <c r="AK252" t="n">
        <v>10</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HYPERLINK("https://creighton-primo.hosted.exlibrisgroup.com/primo-explore/search?tab=default_tab&amp;search_scope=EVERYTHING&amp;vid=01CRU&amp;lang=en_US&amp;offset=0&amp;query=any,contains,991005108659702656","Catalog Record")</f>
        <v/>
      </c>
      <c r="AT252">
        <f>HYPERLINK("http://www.worldcat.org/oclc/7381976","WorldCat Record")</f>
        <v/>
      </c>
      <c r="AU252" t="inlineStr">
        <is>
          <t>31891028:eng</t>
        </is>
      </c>
      <c r="AV252" t="inlineStr">
        <is>
          <t>7381976</t>
        </is>
      </c>
      <c r="AW252" t="inlineStr">
        <is>
          <t>991005108659702656</t>
        </is>
      </c>
      <c r="AX252" t="inlineStr">
        <is>
          <t>991005108659702656</t>
        </is>
      </c>
      <c r="AY252" t="inlineStr">
        <is>
          <t>2263368610002656</t>
        </is>
      </c>
      <c r="AZ252" t="inlineStr">
        <is>
          <t>BOOK</t>
        </is>
      </c>
      <c r="BC252" t="inlineStr">
        <is>
          <t>32285000217033</t>
        </is>
      </c>
      <c r="BD252" t="inlineStr">
        <is>
          <t>893694769</t>
        </is>
      </c>
    </row>
    <row r="253">
      <c r="A253" t="inlineStr">
        <is>
          <t>No</t>
        </is>
      </c>
      <c r="B253" t="inlineStr">
        <is>
          <t>BV225 .S2</t>
        </is>
      </c>
      <c r="C253" t="inlineStr">
        <is>
          <t>0                      BV 0225000S  2</t>
        </is>
      </c>
      <c r="D253" t="inlineStr">
        <is>
          <t>The soul in paraphrase : prayer and the religious affections / Don E. Saliers.</t>
        </is>
      </c>
      <c r="F253" t="inlineStr">
        <is>
          <t>No</t>
        </is>
      </c>
      <c r="G253" t="inlineStr">
        <is>
          <t>1</t>
        </is>
      </c>
      <c r="H253" t="inlineStr">
        <is>
          <t>No</t>
        </is>
      </c>
      <c r="I253" t="inlineStr">
        <is>
          <t>No</t>
        </is>
      </c>
      <c r="J253" t="inlineStr">
        <is>
          <t>0</t>
        </is>
      </c>
      <c r="K253" t="inlineStr">
        <is>
          <t>Saliers, Don E., 1937-</t>
        </is>
      </c>
      <c r="L253" t="inlineStr">
        <is>
          <t>New York : Seabury Press, 1980.</t>
        </is>
      </c>
      <c r="M253" t="inlineStr">
        <is>
          <t>1980</t>
        </is>
      </c>
      <c r="O253" t="inlineStr">
        <is>
          <t>eng</t>
        </is>
      </c>
      <c r="P253" t="inlineStr">
        <is>
          <t>nyu</t>
        </is>
      </c>
      <c r="R253" t="inlineStr">
        <is>
          <t xml:space="preserve">BV </t>
        </is>
      </c>
      <c r="S253" t="n">
        <v>6</v>
      </c>
      <c r="T253" t="n">
        <v>6</v>
      </c>
      <c r="U253" t="inlineStr">
        <is>
          <t>1996-05-28</t>
        </is>
      </c>
      <c r="V253" t="inlineStr">
        <is>
          <t>1996-05-28</t>
        </is>
      </c>
      <c r="W253" t="inlineStr">
        <is>
          <t>1991-11-26</t>
        </is>
      </c>
      <c r="X253" t="inlineStr">
        <is>
          <t>1991-11-26</t>
        </is>
      </c>
      <c r="Y253" t="n">
        <v>194</v>
      </c>
      <c r="Z253" t="n">
        <v>174</v>
      </c>
      <c r="AA253" t="n">
        <v>191</v>
      </c>
      <c r="AB253" t="n">
        <v>1</v>
      </c>
      <c r="AC253" t="n">
        <v>1</v>
      </c>
      <c r="AD253" t="n">
        <v>19</v>
      </c>
      <c r="AE253" t="n">
        <v>20</v>
      </c>
      <c r="AF253" t="n">
        <v>7</v>
      </c>
      <c r="AG253" t="n">
        <v>7</v>
      </c>
      <c r="AH253" t="n">
        <v>6</v>
      </c>
      <c r="AI253" t="n">
        <v>6</v>
      </c>
      <c r="AJ253" t="n">
        <v>13</v>
      </c>
      <c r="AK253" t="n">
        <v>14</v>
      </c>
      <c r="AL253" t="n">
        <v>0</v>
      </c>
      <c r="AM253" t="n">
        <v>0</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HYPERLINK("https://creighton-primo.hosted.exlibrisgroup.com/primo-explore/search?tab=default_tab&amp;search_scope=EVERYTHING&amp;vid=01CRU&amp;lang=en_US&amp;offset=0&amp;query=any,contains,991004877399702656","Catalog Record")</f>
        <v/>
      </c>
      <c r="AT253">
        <f>HYPERLINK("http://www.worldcat.org/oclc/5798781","WorldCat Record")</f>
        <v/>
      </c>
      <c r="AU253" t="inlineStr">
        <is>
          <t>20357110:eng</t>
        </is>
      </c>
      <c r="AV253" t="inlineStr">
        <is>
          <t>5798781</t>
        </is>
      </c>
      <c r="AW253" t="inlineStr">
        <is>
          <t>991004877399702656</t>
        </is>
      </c>
      <c r="AX253" t="inlineStr">
        <is>
          <t>991004877399702656</t>
        </is>
      </c>
      <c r="AY253" t="inlineStr">
        <is>
          <t>2267539630002656</t>
        </is>
      </c>
      <c r="AZ253" t="inlineStr">
        <is>
          <t>BOOK</t>
        </is>
      </c>
      <c r="BB253" t="inlineStr">
        <is>
          <t>9780816401215</t>
        </is>
      </c>
      <c r="BC253" t="inlineStr">
        <is>
          <t>32285000837178</t>
        </is>
      </c>
      <c r="BD253" t="inlineStr">
        <is>
          <t>893319744</t>
        </is>
      </c>
    </row>
    <row r="254">
      <c r="A254" t="inlineStr">
        <is>
          <t>No</t>
        </is>
      </c>
      <c r="B254" t="inlineStr">
        <is>
          <t>BV226 .P74 1995</t>
        </is>
      </c>
      <c r="C254" t="inlineStr">
        <is>
          <t>0                      BV 0226000P  74          1995</t>
        </is>
      </c>
      <c r="D254" t="inlineStr">
        <is>
          <t>Praying with our eyes open : engendering feminist liturgical prayer / Marjorie Procter-Smith.</t>
        </is>
      </c>
      <c r="F254" t="inlineStr">
        <is>
          <t>No</t>
        </is>
      </c>
      <c r="G254" t="inlineStr">
        <is>
          <t>1</t>
        </is>
      </c>
      <c r="H254" t="inlineStr">
        <is>
          <t>No</t>
        </is>
      </c>
      <c r="I254" t="inlineStr">
        <is>
          <t>No</t>
        </is>
      </c>
      <c r="J254" t="inlineStr">
        <is>
          <t>0</t>
        </is>
      </c>
      <c r="K254" t="inlineStr">
        <is>
          <t>Procter-Smith, Marjorie.</t>
        </is>
      </c>
      <c r="L254" t="inlineStr">
        <is>
          <t>Nashville, TN : Abingdon Press, 1995.</t>
        </is>
      </c>
      <c r="M254" t="inlineStr">
        <is>
          <t>1995</t>
        </is>
      </c>
      <c r="O254" t="inlineStr">
        <is>
          <t>eng</t>
        </is>
      </c>
      <c r="P254" t="inlineStr">
        <is>
          <t>tnu</t>
        </is>
      </c>
      <c r="R254" t="inlineStr">
        <is>
          <t xml:space="preserve">BV </t>
        </is>
      </c>
      <c r="S254" t="n">
        <v>1</v>
      </c>
      <c r="T254" t="n">
        <v>1</v>
      </c>
      <c r="U254" t="inlineStr">
        <is>
          <t>2003-04-02</t>
        </is>
      </c>
      <c r="V254" t="inlineStr">
        <is>
          <t>2003-04-02</t>
        </is>
      </c>
      <c r="W254" t="inlineStr">
        <is>
          <t>2003-04-02</t>
        </is>
      </c>
      <c r="X254" t="inlineStr">
        <is>
          <t>2003-04-02</t>
        </is>
      </c>
      <c r="Y254" t="n">
        <v>197</v>
      </c>
      <c r="Z254" t="n">
        <v>160</v>
      </c>
      <c r="AA254" t="n">
        <v>167</v>
      </c>
      <c r="AB254" t="n">
        <v>4</v>
      </c>
      <c r="AC254" t="n">
        <v>4</v>
      </c>
      <c r="AD254" t="n">
        <v>16</v>
      </c>
      <c r="AE254" t="n">
        <v>16</v>
      </c>
      <c r="AF254" t="n">
        <v>6</v>
      </c>
      <c r="AG254" t="n">
        <v>6</v>
      </c>
      <c r="AH254" t="n">
        <v>3</v>
      </c>
      <c r="AI254" t="n">
        <v>3</v>
      </c>
      <c r="AJ254" t="n">
        <v>8</v>
      </c>
      <c r="AK254" t="n">
        <v>8</v>
      </c>
      <c r="AL254" t="n">
        <v>3</v>
      </c>
      <c r="AM254" t="n">
        <v>3</v>
      </c>
      <c r="AN254" t="n">
        <v>0</v>
      </c>
      <c r="AO254" t="n">
        <v>0</v>
      </c>
      <c r="AP254" t="inlineStr">
        <is>
          <t>No</t>
        </is>
      </c>
      <c r="AQ254" t="inlineStr">
        <is>
          <t>Yes</t>
        </is>
      </c>
      <c r="AR254">
        <f>HYPERLINK("http://catalog.hathitrust.org/Record/003043502","HathiTrust Record")</f>
        <v/>
      </c>
      <c r="AS254">
        <f>HYPERLINK("https://creighton-primo.hosted.exlibrisgroup.com/primo-explore/search?tab=default_tab&amp;search_scope=EVERYTHING&amp;vid=01CRU&amp;lang=en_US&amp;offset=0&amp;query=any,contains,991004006649702656","Catalog Record")</f>
        <v/>
      </c>
      <c r="AT254">
        <f>HYPERLINK("http://www.worldcat.org/oclc/33166322","WorldCat Record")</f>
        <v/>
      </c>
      <c r="AU254" t="inlineStr">
        <is>
          <t>474660487:eng</t>
        </is>
      </c>
      <c r="AV254" t="inlineStr">
        <is>
          <t>33166322</t>
        </is>
      </c>
      <c r="AW254" t="inlineStr">
        <is>
          <t>991004006649702656</t>
        </is>
      </c>
      <c r="AX254" t="inlineStr">
        <is>
          <t>991004006649702656</t>
        </is>
      </c>
      <c r="AY254" t="inlineStr">
        <is>
          <t>2255969660002656</t>
        </is>
      </c>
      <c r="AZ254" t="inlineStr">
        <is>
          <t>BOOK</t>
        </is>
      </c>
      <c r="BB254" t="inlineStr">
        <is>
          <t>9780687391226</t>
        </is>
      </c>
      <c r="BC254" t="inlineStr">
        <is>
          <t>32285004689120</t>
        </is>
      </c>
      <c r="BD254" t="inlineStr">
        <is>
          <t>893718345</t>
        </is>
      </c>
    </row>
    <row r="255">
      <c r="A255" t="inlineStr">
        <is>
          <t>No</t>
        </is>
      </c>
      <c r="B255" t="inlineStr">
        <is>
          <t>BV228 .F713 1964</t>
        </is>
      </c>
      <c r="C255" t="inlineStr">
        <is>
          <t>0                      BV 0228000F  713         1964</t>
        </is>
      </c>
      <c r="D255" t="inlineStr">
        <is>
          <t>Praying with the Bible : the Biblical bases of great Christian prayers / by Jean de Fraine. Translated by Jane Wynne Saul.</t>
        </is>
      </c>
      <c r="F255" t="inlineStr">
        <is>
          <t>No</t>
        </is>
      </c>
      <c r="G255" t="inlineStr">
        <is>
          <t>1</t>
        </is>
      </c>
      <c r="H255" t="inlineStr">
        <is>
          <t>No</t>
        </is>
      </c>
      <c r="I255" t="inlineStr">
        <is>
          <t>No</t>
        </is>
      </c>
      <c r="J255" t="inlineStr">
        <is>
          <t>0</t>
        </is>
      </c>
      <c r="K255" t="inlineStr">
        <is>
          <t>Fraine, J. de (Jean)</t>
        </is>
      </c>
      <c r="L255" t="inlineStr">
        <is>
          <t>New York : Desclee Co., [1964]</t>
        </is>
      </c>
      <c r="M255" t="inlineStr">
        <is>
          <t>1964</t>
        </is>
      </c>
      <c r="O255" t="inlineStr">
        <is>
          <t>eng</t>
        </is>
      </c>
      <c r="P255" t="inlineStr">
        <is>
          <t>nyu</t>
        </is>
      </c>
      <c r="R255" t="inlineStr">
        <is>
          <t xml:space="preserve">BV </t>
        </is>
      </c>
      <c r="S255" t="n">
        <v>2</v>
      </c>
      <c r="T255" t="n">
        <v>2</v>
      </c>
      <c r="U255" t="inlineStr">
        <is>
          <t>2000-10-18</t>
        </is>
      </c>
      <c r="V255" t="inlineStr">
        <is>
          <t>2000-10-18</t>
        </is>
      </c>
      <c r="W255" t="inlineStr">
        <is>
          <t>1991-12-05</t>
        </is>
      </c>
      <c r="X255" t="inlineStr">
        <is>
          <t>1991-12-05</t>
        </is>
      </c>
      <c r="Y255" t="n">
        <v>133</v>
      </c>
      <c r="Z255" t="n">
        <v>116</v>
      </c>
      <c r="AA255" t="n">
        <v>132</v>
      </c>
      <c r="AB255" t="n">
        <v>1</v>
      </c>
      <c r="AC255" t="n">
        <v>1</v>
      </c>
      <c r="AD255" t="n">
        <v>21</v>
      </c>
      <c r="AE255" t="n">
        <v>22</v>
      </c>
      <c r="AF255" t="n">
        <v>7</v>
      </c>
      <c r="AG255" t="n">
        <v>8</v>
      </c>
      <c r="AH255" t="n">
        <v>6</v>
      </c>
      <c r="AI255" t="n">
        <v>6</v>
      </c>
      <c r="AJ255" t="n">
        <v>17</v>
      </c>
      <c r="AK255" t="n">
        <v>18</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HYPERLINK("https://creighton-primo.hosted.exlibrisgroup.com/primo-explore/search?tab=default_tab&amp;search_scope=EVERYTHING&amp;vid=01CRU&amp;lang=en_US&amp;offset=0&amp;query=any,contains,991004137259702656","Catalog Record")</f>
        <v/>
      </c>
      <c r="AT255">
        <f>HYPERLINK("http://www.worldcat.org/oclc/2490371","WorldCat Record")</f>
        <v/>
      </c>
      <c r="AU255" t="inlineStr">
        <is>
          <t>5333468:eng</t>
        </is>
      </c>
      <c r="AV255" t="inlineStr">
        <is>
          <t>2490371</t>
        </is>
      </c>
      <c r="AW255" t="inlineStr">
        <is>
          <t>991004137259702656</t>
        </is>
      </c>
      <c r="AX255" t="inlineStr">
        <is>
          <t>991004137259702656</t>
        </is>
      </c>
      <c r="AY255" t="inlineStr">
        <is>
          <t>2258888490002656</t>
        </is>
      </c>
      <c r="AZ255" t="inlineStr">
        <is>
          <t>BOOK</t>
        </is>
      </c>
      <c r="BC255" t="inlineStr">
        <is>
          <t>32285000837236</t>
        </is>
      </c>
      <c r="BD255" t="inlineStr">
        <is>
          <t>893900858</t>
        </is>
      </c>
    </row>
    <row r="256">
      <c r="A256" t="inlineStr">
        <is>
          <t>No</t>
        </is>
      </c>
      <c r="B256" t="inlineStr">
        <is>
          <t>BV228 .H2413 1971</t>
        </is>
      </c>
      <c r="C256" t="inlineStr">
        <is>
          <t>0                      BV 0228000H  2413        1971</t>
        </is>
      </c>
      <c r="D256" t="inlineStr">
        <is>
          <t>Prayer, the New Testament / [by] A. Hamman.</t>
        </is>
      </c>
      <c r="F256" t="inlineStr">
        <is>
          <t>No</t>
        </is>
      </c>
      <c r="G256" t="inlineStr">
        <is>
          <t>1</t>
        </is>
      </c>
      <c r="H256" t="inlineStr">
        <is>
          <t>No</t>
        </is>
      </c>
      <c r="I256" t="inlineStr">
        <is>
          <t>No</t>
        </is>
      </c>
      <c r="J256" t="inlineStr">
        <is>
          <t>0</t>
        </is>
      </c>
      <c r="K256" t="inlineStr">
        <is>
          <t>Hamman, A.-G. (Adalbert-G.), 1910-2000.</t>
        </is>
      </c>
      <c r="L256" t="inlineStr">
        <is>
          <t>[Chicago] : Franciscan Herald Press, [1971]</t>
        </is>
      </c>
      <c r="M256" t="inlineStr">
        <is>
          <t>1971</t>
        </is>
      </c>
      <c r="O256" t="inlineStr">
        <is>
          <t>eng</t>
        </is>
      </c>
      <c r="P256" t="inlineStr">
        <is>
          <t>ilu</t>
        </is>
      </c>
      <c r="R256" t="inlineStr">
        <is>
          <t xml:space="preserve">BV </t>
        </is>
      </c>
      <c r="S256" t="n">
        <v>6</v>
      </c>
      <c r="T256" t="n">
        <v>6</v>
      </c>
      <c r="U256" t="inlineStr">
        <is>
          <t>2007-04-12</t>
        </is>
      </c>
      <c r="V256" t="inlineStr">
        <is>
          <t>2007-04-12</t>
        </is>
      </c>
      <c r="W256" t="inlineStr">
        <is>
          <t>1991-12-05</t>
        </is>
      </c>
      <c r="X256" t="inlineStr">
        <is>
          <t>1991-12-05</t>
        </is>
      </c>
      <c r="Y256" t="n">
        <v>155</v>
      </c>
      <c r="Z256" t="n">
        <v>132</v>
      </c>
      <c r="AA256" t="n">
        <v>132</v>
      </c>
      <c r="AB256" t="n">
        <v>2</v>
      </c>
      <c r="AC256" t="n">
        <v>2</v>
      </c>
      <c r="AD256" t="n">
        <v>12</v>
      </c>
      <c r="AE256" t="n">
        <v>12</v>
      </c>
      <c r="AF256" t="n">
        <v>3</v>
      </c>
      <c r="AG256" t="n">
        <v>3</v>
      </c>
      <c r="AH256" t="n">
        <v>3</v>
      </c>
      <c r="AI256" t="n">
        <v>3</v>
      </c>
      <c r="AJ256" t="n">
        <v>9</v>
      </c>
      <c r="AK256" t="n">
        <v>9</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HYPERLINK("https://creighton-primo.hosted.exlibrisgroup.com/primo-explore/search?tab=default_tab&amp;search_scope=EVERYTHING&amp;vid=01CRU&amp;lang=en_US&amp;offset=0&amp;query=any,contains,991001295849702656","Catalog Record")</f>
        <v/>
      </c>
      <c r="AT256">
        <f>HYPERLINK("http://www.worldcat.org/oclc/219563","WorldCat Record")</f>
        <v/>
      </c>
      <c r="AU256" t="inlineStr">
        <is>
          <t>4927729148:eng</t>
        </is>
      </c>
      <c r="AV256" t="inlineStr">
        <is>
          <t>219563</t>
        </is>
      </c>
      <c r="AW256" t="inlineStr">
        <is>
          <t>991001295849702656</t>
        </is>
      </c>
      <c r="AX256" t="inlineStr">
        <is>
          <t>991001295849702656</t>
        </is>
      </c>
      <c r="AY256" t="inlineStr">
        <is>
          <t>2258176140002656</t>
        </is>
      </c>
      <c r="AZ256" t="inlineStr">
        <is>
          <t>BOOK</t>
        </is>
      </c>
      <c r="BB256" t="inlineStr">
        <is>
          <t>9780819904249</t>
        </is>
      </c>
      <c r="BC256" t="inlineStr">
        <is>
          <t>32285000837244</t>
        </is>
      </c>
      <c r="BD256" t="inlineStr">
        <is>
          <t>893803533</t>
        </is>
      </c>
    </row>
    <row r="257">
      <c r="A257" t="inlineStr">
        <is>
          <t>No</t>
        </is>
      </c>
      <c r="B257" t="inlineStr">
        <is>
          <t>BV228 .S37 1988</t>
        </is>
      </c>
      <c r="C257" t="inlineStr">
        <is>
          <t>0                      BV 0228000S  37          1988</t>
        </is>
      </c>
      <c r="D257" t="inlineStr">
        <is>
          <t>Scripture and prayer : a celebration for Carroll Stuhlmueller / edited by Carolyn Osiek and Donald Senior.</t>
        </is>
      </c>
      <c r="F257" t="inlineStr">
        <is>
          <t>No</t>
        </is>
      </c>
      <c r="G257" t="inlineStr">
        <is>
          <t>1</t>
        </is>
      </c>
      <c r="H257" t="inlineStr">
        <is>
          <t>No</t>
        </is>
      </c>
      <c r="I257" t="inlineStr">
        <is>
          <t>No</t>
        </is>
      </c>
      <c r="J257" t="inlineStr">
        <is>
          <t>0</t>
        </is>
      </c>
      <c r="L257" t="inlineStr">
        <is>
          <t>Wilmington, Del. : M. Glazier, 1988.</t>
        </is>
      </c>
      <c r="M257" t="inlineStr">
        <is>
          <t>1988</t>
        </is>
      </c>
      <c r="O257" t="inlineStr">
        <is>
          <t>eng</t>
        </is>
      </c>
      <c r="P257" t="inlineStr">
        <is>
          <t>deu</t>
        </is>
      </c>
      <c r="R257" t="inlineStr">
        <is>
          <t xml:space="preserve">BV </t>
        </is>
      </c>
      <c r="S257" t="n">
        <v>2</v>
      </c>
      <c r="T257" t="n">
        <v>2</v>
      </c>
      <c r="U257" t="inlineStr">
        <is>
          <t>2006-05-09</t>
        </is>
      </c>
      <c r="V257" t="inlineStr">
        <is>
          <t>2006-05-09</t>
        </is>
      </c>
      <c r="W257" t="inlineStr">
        <is>
          <t>1992-11-17</t>
        </is>
      </c>
      <c r="X257" t="inlineStr">
        <is>
          <t>1992-11-17</t>
        </is>
      </c>
      <c r="Y257" t="n">
        <v>106</v>
      </c>
      <c r="Z257" t="n">
        <v>92</v>
      </c>
      <c r="AA257" t="n">
        <v>94</v>
      </c>
      <c r="AB257" t="n">
        <v>1</v>
      </c>
      <c r="AC257" t="n">
        <v>1</v>
      </c>
      <c r="AD257" t="n">
        <v>10</v>
      </c>
      <c r="AE257" t="n">
        <v>10</v>
      </c>
      <c r="AF257" t="n">
        <v>3</v>
      </c>
      <c r="AG257" t="n">
        <v>3</v>
      </c>
      <c r="AH257" t="n">
        <v>1</v>
      </c>
      <c r="AI257" t="n">
        <v>1</v>
      </c>
      <c r="AJ257" t="n">
        <v>7</v>
      </c>
      <c r="AK257" t="n">
        <v>7</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HYPERLINK("https://creighton-primo.hosted.exlibrisgroup.com/primo-explore/search?tab=default_tab&amp;search_scope=EVERYTHING&amp;vid=01CRU&amp;lang=en_US&amp;offset=0&amp;query=any,contains,991001391049702656","Catalog Record")</f>
        <v/>
      </c>
      <c r="AT257">
        <f>HYPERLINK("http://www.worldcat.org/oclc/18763882","WorldCat Record")</f>
        <v/>
      </c>
      <c r="AU257" t="inlineStr">
        <is>
          <t>1807079420:eng</t>
        </is>
      </c>
      <c r="AV257" t="inlineStr">
        <is>
          <t>18763882</t>
        </is>
      </c>
      <c r="AW257" t="inlineStr">
        <is>
          <t>991001391049702656</t>
        </is>
      </c>
      <c r="AX257" t="inlineStr">
        <is>
          <t>991001391049702656</t>
        </is>
      </c>
      <c r="AY257" t="inlineStr">
        <is>
          <t>2256803330002656</t>
        </is>
      </c>
      <c r="AZ257" t="inlineStr">
        <is>
          <t>BOOK</t>
        </is>
      </c>
      <c r="BB257" t="inlineStr">
        <is>
          <t>9780894537400</t>
        </is>
      </c>
      <c r="BC257" t="inlineStr">
        <is>
          <t>32285005241301</t>
        </is>
      </c>
      <c r="BD257" t="inlineStr">
        <is>
          <t>893872505</t>
        </is>
      </c>
    </row>
    <row r="258">
      <c r="A258" t="inlineStr">
        <is>
          <t>No</t>
        </is>
      </c>
      <c r="B258" t="inlineStr">
        <is>
          <t>BV228 .S46 1968</t>
        </is>
      </c>
      <c r="C258" t="inlineStr">
        <is>
          <t>0                      BV 0228000S  46          1968</t>
        </is>
      </c>
      <c r="D258" t="inlineStr">
        <is>
          <t>The spirit speaks in us : personal prayer in the New Testament / by John Sheets.</t>
        </is>
      </c>
      <c r="F258" t="inlineStr">
        <is>
          <t>No</t>
        </is>
      </c>
      <c r="G258" t="inlineStr">
        <is>
          <t>1</t>
        </is>
      </c>
      <c r="H258" t="inlineStr">
        <is>
          <t>Yes</t>
        </is>
      </c>
      <c r="I258" t="inlineStr">
        <is>
          <t>No</t>
        </is>
      </c>
      <c r="J258" t="inlineStr">
        <is>
          <t>0</t>
        </is>
      </c>
      <c r="K258" t="inlineStr">
        <is>
          <t>Sheets, John R.</t>
        </is>
      </c>
      <c r="L258" t="inlineStr">
        <is>
          <t>Wilkes-Barre, Pa. : Dimension Books, [c1968]</t>
        </is>
      </c>
      <c r="M258" t="inlineStr">
        <is>
          <t>1968</t>
        </is>
      </c>
      <c r="O258" t="inlineStr">
        <is>
          <t>eng</t>
        </is>
      </c>
      <c r="P258" t="inlineStr">
        <is>
          <t>pau</t>
        </is>
      </c>
      <c r="R258" t="inlineStr">
        <is>
          <t xml:space="preserve">BV </t>
        </is>
      </c>
      <c r="S258" t="n">
        <v>7</v>
      </c>
      <c r="T258" t="n">
        <v>7</v>
      </c>
      <c r="U258" t="inlineStr">
        <is>
          <t>2009-07-09</t>
        </is>
      </c>
      <c r="V258" t="inlineStr">
        <is>
          <t>2009-07-09</t>
        </is>
      </c>
      <c r="W258" t="inlineStr">
        <is>
          <t>1990-03-08</t>
        </is>
      </c>
      <c r="X258" t="inlineStr">
        <is>
          <t>2004-02-25</t>
        </is>
      </c>
      <c r="Y258" t="n">
        <v>134</v>
      </c>
      <c r="Z258" t="n">
        <v>112</v>
      </c>
      <c r="AA258" t="n">
        <v>117</v>
      </c>
      <c r="AB258" t="n">
        <v>3</v>
      </c>
      <c r="AC258" t="n">
        <v>3</v>
      </c>
      <c r="AD258" t="n">
        <v>22</v>
      </c>
      <c r="AE258" t="n">
        <v>22</v>
      </c>
      <c r="AF258" t="n">
        <v>5</v>
      </c>
      <c r="AG258" t="n">
        <v>5</v>
      </c>
      <c r="AH258" t="n">
        <v>7</v>
      </c>
      <c r="AI258" t="n">
        <v>7</v>
      </c>
      <c r="AJ258" t="n">
        <v>17</v>
      </c>
      <c r="AK258" t="n">
        <v>17</v>
      </c>
      <c r="AL258" t="n">
        <v>1</v>
      </c>
      <c r="AM258" t="n">
        <v>1</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HYPERLINK("https://creighton-primo.hosted.exlibrisgroup.com/primo-explore/search?tab=default_tab&amp;search_scope=EVERYTHING&amp;vid=01CRU&amp;lang=en_US&amp;offset=0&amp;query=any,contains,991000169729702656","Catalog Record")</f>
        <v/>
      </c>
      <c r="AT258">
        <f>HYPERLINK("http://www.worldcat.org/oclc/61916","WorldCat Record")</f>
        <v/>
      </c>
      <c r="AU258" t="inlineStr">
        <is>
          <t>1223959:eng</t>
        </is>
      </c>
      <c r="AV258" t="inlineStr">
        <is>
          <t>61916</t>
        </is>
      </c>
      <c r="AW258" t="inlineStr">
        <is>
          <t>991000169729702656</t>
        </is>
      </c>
      <c r="AX258" t="inlineStr">
        <is>
          <t>991000169729702656</t>
        </is>
      </c>
      <c r="AY258" t="inlineStr">
        <is>
          <t>2255185760002656</t>
        </is>
      </c>
      <c r="AZ258" t="inlineStr">
        <is>
          <t>BOOK</t>
        </is>
      </c>
      <c r="BC258" t="inlineStr">
        <is>
          <t>32285005537401</t>
        </is>
      </c>
      <c r="BD258" t="inlineStr">
        <is>
          <t>893333267</t>
        </is>
      </c>
    </row>
    <row r="259">
      <c r="A259" t="inlineStr">
        <is>
          <t>No</t>
        </is>
      </c>
      <c r="B259" t="inlineStr">
        <is>
          <t>BV228 .S76 1973</t>
        </is>
      </c>
      <c r="C259" t="inlineStr">
        <is>
          <t>0                      BV 0228000S  76          1973</t>
        </is>
      </c>
      <c r="D259" t="inlineStr">
        <is>
          <t>Boasting in the Lord : the phenomenon of prayer in Saint Paul / by David M. Stanley.</t>
        </is>
      </c>
      <c r="F259" t="inlineStr">
        <is>
          <t>No</t>
        </is>
      </c>
      <c r="G259" t="inlineStr">
        <is>
          <t>1</t>
        </is>
      </c>
      <c r="H259" t="inlineStr">
        <is>
          <t>No</t>
        </is>
      </c>
      <c r="I259" t="inlineStr">
        <is>
          <t>No</t>
        </is>
      </c>
      <c r="J259" t="inlineStr">
        <is>
          <t>0</t>
        </is>
      </c>
      <c r="K259" t="inlineStr">
        <is>
          <t>Stanley, David Michael, 1914-</t>
        </is>
      </c>
      <c r="L259" t="inlineStr">
        <is>
          <t>New York : Paulist Press, [1973]</t>
        </is>
      </c>
      <c r="M259" t="inlineStr">
        <is>
          <t>1973</t>
        </is>
      </c>
      <c r="O259" t="inlineStr">
        <is>
          <t>eng</t>
        </is>
      </c>
      <c r="P259" t="inlineStr">
        <is>
          <t>nyu</t>
        </is>
      </c>
      <c r="R259" t="inlineStr">
        <is>
          <t xml:space="preserve">BV </t>
        </is>
      </c>
      <c r="S259" t="n">
        <v>1</v>
      </c>
      <c r="T259" t="n">
        <v>1</v>
      </c>
      <c r="U259" t="inlineStr">
        <is>
          <t>2009-07-28</t>
        </is>
      </c>
      <c r="V259" t="inlineStr">
        <is>
          <t>2009-07-28</t>
        </is>
      </c>
      <c r="W259" t="inlineStr">
        <is>
          <t>2009-07-28</t>
        </is>
      </c>
      <c r="X259" t="inlineStr">
        <is>
          <t>2009-07-28</t>
        </is>
      </c>
      <c r="Y259" t="n">
        <v>366</v>
      </c>
      <c r="Z259" t="n">
        <v>300</v>
      </c>
      <c r="AA259" t="n">
        <v>306</v>
      </c>
      <c r="AB259" t="n">
        <v>2</v>
      </c>
      <c r="AC259" t="n">
        <v>2</v>
      </c>
      <c r="AD259" t="n">
        <v>32</v>
      </c>
      <c r="AE259" t="n">
        <v>32</v>
      </c>
      <c r="AF259" t="n">
        <v>11</v>
      </c>
      <c r="AG259" t="n">
        <v>11</v>
      </c>
      <c r="AH259" t="n">
        <v>8</v>
      </c>
      <c r="AI259" t="n">
        <v>8</v>
      </c>
      <c r="AJ259" t="n">
        <v>23</v>
      </c>
      <c r="AK259" t="n">
        <v>23</v>
      </c>
      <c r="AL259" t="n">
        <v>0</v>
      </c>
      <c r="AM259" t="n">
        <v>0</v>
      </c>
      <c r="AN259" t="n">
        <v>0</v>
      </c>
      <c r="AO259" t="n">
        <v>0</v>
      </c>
      <c r="AP259" t="inlineStr">
        <is>
          <t>No</t>
        </is>
      </c>
      <c r="AQ259" t="inlineStr">
        <is>
          <t>Yes</t>
        </is>
      </c>
      <c r="AR259">
        <f>HYPERLINK("http://catalog.hathitrust.org/Record/007853792","HathiTrust Record")</f>
        <v/>
      </c>
      <c r="AS259">
        <f>HYPERLINK("https://creighton-primo.hosted.exlibrisgroup.com/primo-explore/search?tab=default_tab&amp;search_scope=EVERYTHING&amp;vid=01CRU&amp;lang=en_US&amp;offset=0&amp;query=any,contains,991005328559702656","Catalog Record")</f>
        <v/>
      </c>
      <c r="AT259">
        <f>HYPERLINK("http://www.worldcat.org/oclc/805145","WorldCat Record")</f>
        <v/>
      </c>
      <c r="AU259" t="inlineStr">
        <is>
          <t>422801740:eng</t>
        </is>
      </c>
      <c r="AV259" t="inlineStr">
        <is>
          <t>805145</t>
        </is>
      </c>
      <c r="AW259" t="inlineStr">
        <is>
          <t>991005328559702656</t>
        </is>
      </c>
      <c r="AX259" t="inlineStr">
        <is>
          <t>991005328559702656</t>
        </is>
      </c>
      <c r="AY259" t="inlineStr">
        <is>
          <t>2265386160002656</t>
        </is>
      </c>
      <c r="AZ259" t="inlineStr">
        <is>
          <t>BOOK</t>
        </is>
      </c>
      <c r="BB259" t="inlineStr">
        <is>
          <t>9780809117932</t>
        </is>
      </c>
      <c r="BC259" t="inlineStr">
        <is>
          <t>32285005539282</t>
        </is>
      </c>
      <c r="BD259" t="inlineStr">
        <is>
          <t>893890034</t>
        </is>
      </c>
    </row>
    <row r="260">
      <c r="A260" t="inlineStr">
        <is>
          <t>No</t>
        </is>
      </c>
      <c r="B260" t="inlineStr">
        <is>
          <t>BV2280 .H2 1953</t>
        </is>
      </c>
      <c r="C260" t="inlineStr">
        <is>
          <t>0                      BV 2280000H  2           1953</t>
        </is>
      </c>
      <c r="D260" t="inlineStr">
        <is>
          <t>In journeyings often : Franciscan pioneers in the Orient.</t>
        </is>
      </c>
      <c r="F260" t="inlineStr">
        <is>
          <t>No</t>
        </is>
      </c>
      <c r="G260" t="inlineStr">
        <is>
          <t>1</t>
        </is>
      </c>
      <c r="H260" t="inlineStr">
        <is>
          <t>No</t>
        </is>
      </c>
      <c r="I260" t="inlineStr">
        <is>
          <t>No</t>
        </is>
      </c>
      <c r="J260" t="inlineStr">
        <is>
          <t>0</t>
        </is>
      </c>
      <c r="K260" t="inlineStr">
        <is>
          <t>Habig, Marion A. (Marion Alphonse), 1901-1985.</t>
        </is>
      </c>
      <c r="L260" t="inlineStr">
        <is>
          <t>New York : Franciscan Institute, St. Bonaventure University, 1953.</t>
        </is>
      </c>
      <c r="M260" t="inlineStr">
        <is>
          <t>1953</t>
        </is>
      </c>
      <c r="O260" t="inlineStr">
        <is>
          <t>eng</t>
        </is>
      </c>
      <c r="P260" t="inlineStr">
        <is>
          <t xml:space="preserve">xx </t>
        </is>
      </c>
      <c r="R260" t="inlineStr">
        <is>
          <t xml:space="preserve">BV </t>
        </is>
      </c>
      <c r="S260" t="n">
        <v>2</v>
      </c>
      <c r="T260" t="n">
        <v>2</v>
      </c>
      <c r="U260" t="inlineStr">
        <is>
          <t>1992-12-10</t>
        </is>
      </c>
      <c r="V260" t="inlineStr">
        <is>
          <t>1992-12-10</t>
        </is>
      </c>
      <c r="W260" t="inlineStr">
        <is>
          <t>1992-02-06</t>
        </is>
      </c>
      <c r="X260" t="inlineStr">
        <is>
          <t>1992-02-06</t>
        </is>
      </c>
      <c r="Y260" t="n">
        <v>79</v>
      </c>
      <c r="Z260" t="n">
        <v>69</v>
      </c>
      <c r="AA260" t="n">
        <v>69</v>
      </c>
      <c r="AB260" t="n">
        <v>1</v>
      </c>
      <c r="AC260" t="n">
        <v>1</v>
      </c>
      <c r="AD260" t="n">
        <v>8</v>
      </c>
      <c r="AE260" t="n">
        <v>8</v>
      </c>
      <c r="AF260" t="n">
        <v>2</v>
      </c>
      <c r="AG260" t="n">
        <v>2</v>
      </c>
      <c r="AH260" t="n">
        <v>3</v>
      </c>
      <c r="AI260" t="n">
        <v>3</v>
      </c>
      <c r="AJ260" t="n">
        <v>6</v>
      </c>
      <c r="AK260" t="n">
        <v>6</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HYPERLINK("https://creighton-primo.hosted.exlibrisgroup.com/primo-explore/search?tab=default_tab&amp;search_scope=EVERYTHING&amp;vid=01CRU&amp;lang=en_US&amp;offset=0&amp;query=any,contains,991004345089702656","Catalog Record")</f>
        <v/>
      </c>
      <c r="AT260">
        <f>HYPERLINK("http://www.worldcat.org/oclc/3100044","WorldCat Record")</f>
        <v/>
      </c>
      <c r="AU260" t="inlineStr">
        <is>
          <t>7458598:eng</t>
        </is>
      </c>
      <c r="AV260" t="inlineStr">
        <is>
          <t>3100044</t>
        </is>
      </c>
      <c r="AW260" t="inlineStr">
        <is>
          <t>991004345089702656</t>
        </is>
      </c>
      <c r="AX260" t="inlineStr">
        <is>
          <t>991004345089702656</t>
        </is>
      </c>
      <c r="AY260" t="inlineStr">
        <is>
          <t>2264781890002656</t>
        </is>
      </c>
      <c r="AZ260" t="inlineStr">
        <is>
          <t>BOOK</t>
        </is>
      </c>
      <c r="BC260" t="inlineStr">
        <is>
          <t>32285000927920</t>
        </is>
      </c>
      <c r="BD260" t="inlineStr">
        <is>
          <t>893343725</t>
        </is>
      </c>
    </row>
    <row r="261">
      <c r="A261" t="inlineStr">
        <is>
          <t>No</t>
        </is>
      </c>
      <c r="B261" t="inlineStr">
        <is>
          <t>BV2290 .B8 1957</t>
        </is>
      </c>
      <c r="C261" t="inlineStr">
        <is>
          <t>0                      BV 2290000B  8           1957</t>
        </is>
      </c>
      <c r="D261" t="inlineStr">
        <is>
          <t>Beyond all horizons : Jesuits and the missions / Pref. by Anne Freemantle.</t>
        </is>
      </c>
      <c r="F261" t="inlineStr">
        <is>
          <t>No</t>
        </is>
      </c>
      <c r="G261" t="inlineStr">
        <is>
          <t>1</t>
        </is>
      </c>
      <c r="H261" t="inlineStr">
        <is>
          <t>No</t>
        </is>
      </c>
      <c r="I261" t="inlineStr">
        <is>
          <t>No</t>
        </is>
      </c>
      <c r="J261" t="inlineStr">
        <is>
          <t>0</t>
        </is>
      </c>
      <c r="K261" t="inlineStr">
        <is>
          <t>Burke, Thomas J. M., 1920-, editor.</t>
        </is>
      </c>
      <c r="L261" t="inlineStr">
        <is>
          <t>Garden City, N. Y. : Hanover House, [1957]</t>
        </is>
      </c>
      <c r="M261" t="inlineStr">
        <is>
          <t>1957</t>
        </is>
      </c>
      <c r="N261" t="inlineStr">
        <is>
          <t>[1st ed.]</t>
        </is>
      </c>
      <c r="O261" t="inlineStr">
        <is>
          <t>eng</t>
        </is>
      </c>
      <c r="P261" t="inlineStr">
        <is>
          <t xml:space="preserve">xx </t>
        </is>
      </c>
      <c r="R261" t="inlineStr">
        <is>
          <t xml:space="preserve">BV </t>
        </is>
      </c>
      <c r="S261" t="n">
        <v>2</v>
      </c>
      <c r="T261" t="n">
        <v>2</v>
      </c>
      <c r="U261" t="inlineStr">
        <is>
          <t>2001-10-18</t>
        </is>
      </c>
      <c r="V261" t="inlineStr">
        <is>
          <t>2001-10-18</t>
        </is>
      </c>
      <c r="W261" t="inlineStr">
        <is>
          <t>1990-05-07</t>
        </is>
      </c>
      <c r="X261" t="inlineStr">
        <is>
          <t>1990-05-07</t>
        </is>
      </c>
      <c r="Y261" t="n">
        <v>198</v>
      </c>
      <c r="Z261" t="n">
        <v>174</v>
      </c>
      <c r="AA261" t="n">
        <v>181</v>
      </c>
      <c r="AB261" t="n">
        <v>2</v>
      </c>
      <c r="AC261" t="n">
        <v>2</v>
      </c>
      <c r="AD261" t="n">
        <v>27</v>
      </c>
      <c r="AE261" t="n">
        <v>27</v>
      </c>
      <c r="AF261" t="n">
        <v>8</v>
      </c>
      <c r="AG261" t="n">
        <v>8</v>
      </c>
      <c r="AH261" t="n">
        <v>6</v>
      </c>
      <c r="AI261" t="n">
        <v>6</v>
      </c>
      <c r="AJ261" t="n">
        <v>24</v>
      </c>
      <c r="AK261" t="n">
        <v>24</v>
      </c>
      <c r="AL261" t="n">
        <v>0</v>
      </c>
      <c r="AM261" t="n">
        <v>0</v>
      </c>
      <c r="AN261" t="n">
        <v>0</v>
      </c>
      <c r="AO261" t="n">
        <v>0</v>
      </c>
      <c r="AP261" t="inlineStr">
        <is>
          <t>No</t>
        </is>
      </c>
      <c r="AQ261" t="inlineStr">
        <is>
          <t>No</t>
        </is>
      </c>
      <c r="AR261">
        <f>HYPERLINK("http://catalog.hathitrust.org/Record/006762227","HathiTrust Record")</f>
        <v/>
      </c>
      <c r="AS261">
        <f>HYPERLINK("https://creighton-primo.hosted.exlibrisgroup.com/primo-explore/search?tab=default_tab&amp;search_scope=EVERYTHING&amp;vid=01CRU&amp;lang=en_US&amp;offset=0&amp;query=any,contains,991003659509702656","Catalog Record")</f>
        <v/>
      </c>
      <c r="AT261">
        <f>HYPERLINK("http://www.worldcat.org/oclc/1266400","WorldCat Record")</f>
        <v/>
      </c>
      <c r="AU261" t="inlineStr">
        <is>
          <t>2192480:eng</t>
        </is>
      </c>
      <c r="AV261" t="inlineStr">
        <is>
          <t>1266400</t>
        </is>
      </c>
      <c r="AW261" t="inlineStr">
        <is>
          <t>991003659509702656</t>
        </is>
      </c>
      <c r="AX261" t="inlineStr">
        <is>
          <t>991003659509702656</t>
        </is>
      </c>
      <c r="AY261" t="inlineStr">
        <is>
          <t>2261314610002656</t>
        </is>
      </c>
      <c r="AZ261" t="inlineStr">
        <is>
          <t>BOOK</t>
        </is>
      </c>
      <c r="BC261" t="inlineStr">
        <is>
          <t>32285000149392</t>
        </is>
      </c>
      <c r="BD261" t="inlineStr">
        <is>
          <t>893324316</t>
        </is>
      </c>
    </row>
    <row r="262">
      <c r="A262" t="inlineStr">
        <is>
          <t>No</t>
        </is>
      </c>
      <c r="B262" t="inlineStr">
        <is>
          <t>BV2290 .P513 1952</t>
        </is>
      </c>
      <c r="C262" t="inlineStr">
        <is>
          <t>0                      BV 2290000P  513         1952</t>
        </is>
      </c>
      <c r="D262" t="inlineStr">
        <is>
          <t>Jesuits go East.</t>
        </is>
      </c>
      <c r="F262" t="inlineStr">
        <is>
          <t>No</t>
        </is>
      </c>
      <c r="G262" t="inlineStr">
        <is>
          <t>1</t>
        </is>
      </c>
      <c r="H262" t="inlineStr">
        <is>
          <t>No</t>
        </is>
      </c>
      <c r="I262" t="inlineStr">
        <is>
          <t>No</t>
        </is>
      </c>
      <c r="J262" t="inlineStr">
        <is>
          <t>0</t>
        </is>
      </c>
      <c r="K262" t="inlineStr">
        <is>
          <t>Plattner, Felix Alfred, 1906-1974.</t>
        </is>
      </c>
      <c r="L262" t="inlineStr">
        <is>
          <t>Westminster, Md. : Newman Press, 1952.</t>
        </is>
      </c>
      <c r="M262" t="inlineStr">
        <is>
          <t>1952</t>
        </is>
      </c>
      <c r="O262" t="inlineStr">
        <is>
          <t>eng</t>
        </is>
      </c>
      <c r="P262" t="inlineStr">
        <is>
          <t xml:space="preserve">xx </t>
        </is>
      </c>
      <c r="R262" t="inlineStr">
        <is>
          <t xml:space="preserve">BV </t>
        </is>
      </c>
      <c r="S262" t="n">
        <v>6</v>
      </c>
      <c r="T262" t="n">
        <v>6</v>
      </c>
      <c r="U262" t="inlineStr">
        <is>
          <t>2008-04-08</t>
        </is>
      </c>
      <c r="V262" t="inlineStr">
        <is>
          <t>2008-04-08</t>
        </is>
      </c>
      <c r="W262" t="inlineStr">
        <is>
          <t>1992-02-06</t>
        </is>
      </c>
      <c r="X262" t="inlineStr">
        <is>
          <t>1992-02-06</t>
        </is>
      </c>
      <c r="Y262" t="n">
        <v>211</v>
      </c>
      <c r="Z262" t="n">
        <v>190</v>
      </c>
      <c r="AA262" t="n">
        <v>242</v>
      </c>
      <c r="AB262" t="n">
        <v>3</v>
      </c>
      <c r="AC262" t="n">
        <v>3</v>
      </c>
      <c r="AD262" t="n">
        <v>18</v>
      </c>
      <c r="AE262" t="n">
        <v>28</v>
      </c>
      <c r="AF262" t="n">
        <v>4</v>
      </c>
      <c r="AG262" t="n">
        <v>9</v>
      </c>
      <c r="AH262" t="n">
        <v>5</v>
      </c>
      <c r="AI262" t="n">
        <v>6</v>
      </c>
      <c r="AJ262" t="n">
        <v>15</v>
      </c>
      <c r="AK262" t="n">
        <v>24</v>
      </c>
      <c r="AL262" t="n">
        <v>0</v>
      </c>
      <c r="AM262" t="n">
        <v>0</v>
      </c>
      <c r="AN262" t="n">
        <v>0</v>
      </c>
      <c r="AO262" t="n">
        <v>0</v>
      </c>
      <c r="AP262" t="inlineStr">
        <is>
          <t>No</t>
        </is>
      </c>
      <c r="AQ262" t="inlineStr">
        <is>
          <t>No</t>
        </is>
      </c>
      <c r="AR262">
        <f>HYPERLINK("http://catalog.hathitrust.org/Record/007121309","HathiTrust Record")</f>
        <v/>
      </c>
      <c r="AS262">
        <f>HYPERLINK("https://creighton-primo.hosted.exlibrisgroup.com/primo-explore/search?tab=default_tab&amp;search_scope=EVERYTHING&amp;vid=01CRU&amp;lang=en_US&amp;offset=0&amp;query=any,contains,991002640519702656","Catalog Record")</f>
        <v/>
      </c>
      <c r="AT262">
        <f>HYPERLINK("http://www.worldcat.org/oclc/384149","WorldCat Record")</f>
        <v/>
      </c>
      <c r="AU262" t="inlineStr">
        <is>
          <t>4160646393:eng</t>
        </is>
      </c>
      <c r="AV262" t="inlineStr">
        <is>
          <t>384149</t>
        </is>
      </c>
      <c r="AW262" t="inlineStr">
        <is>
          <t>991002640519702656</t>
        </is>
      </c>
      <c r="AX262" t="inlineStr">
        <is>
          <t>991002640519702656</t>
        </is>
      </c>
      <c r="AY262" t="inlineStr">
        <is>
          <t>2256345030002656</t>
        </is>
      </c>
      <c r="AZ262" t="inlineStr">
        <is>
          <t>BOOK</t>
        </is>
      </c>
      <c r="BC262" t="inlineStr">
        <is>
          <t>32285000927979</t>
        </is>
      </c>
      <c r="BD262" t="inlineStr">
        <is>
          <t>893704309</t>
        </is>
      </c>
    </row>
    <row r="263">
      <c r="A263" t="inlineStr">
        <is>
          <t>No</t>
        </is>
      </c>
      <c r="B263" t="inlineStr">
        <is>
          <t>BV2290 .Z3</t>
        </is>
      </c>
      <c r="C263" t="inlineStr">
        <is>
          <t>0                      BV 2290000Z  3</t>
        </is>
      </c>
      <c r="D263" t="inlineStr">
        <is>
          <t>Les Jésuites de la Russie-Blanche / par Stanislas Zalenski ; ouvrage traduit du polonais par Alexandre Vivier.</t>
        </is>
      </c>
      <c r="E263" t="inlineStr">
        <is>
          <t>V.1</t>
        </is>
      </c>
      <c r="F263" t="inlineStr">
        <is>
          <t>Yes</t>
        </is>
      </c>
      <c r="G263" t="inlineStr">
        <is>
          <t>1</t>
        </is>
      </c>
      <c r="H263" t="inlineStr">
        <is>
          <t>No</t>
        </is>
      </c>
      <c r="I263" t="inlineStr">
        <is>
          <t>No</t>
        </is>
      </c>
      <c r="J263" t="inlineStr">
        <is>
          <t>0</t>
        </is>
      </c>
      <c r="K263" t="inlineStr">
        <is>
          <t>Załęski, Stanisław.</t>
        </is>
      </c>
      <c r="L263" t="inlineStr">
        <is>
          <t>Paris : Letouzey et Ané, [1886?]</t>
        </is>
      </c>
      <c r="M263" t="inlineStr">
        <is>
          <t>1886</t>
        </is>
      </c>
      <c r="O263" t="inlineStr">
        <is>
          <t>fre</t>
        </is>
      </c>
      <c r="P263" t="inlineStr">
        <is>
          <t xml:space="preserve">fr </t>
        </is>
      </c>
      <c r="R263" t="inlineStr">
        <is>
          <t xml:space="preserve">BV </t>
        </is>
      </c>
      <c r="S263" t="n">
        <v>2</v>
      </c>
      <c r="T263" t="n">
        <v>2</v>
      </c>
      <c r="U263" t="inlineStr">
        <is>
          <t>2006-01-05</t>
        </is>
      </c>
      <c r="V263" t="inlineStr">
        <is>
          <t>2006-01-05</t>
        </is>
      </c>
      <c r="W263" t="inlineStr">
        <is>
          <t>1992-02-06</t>
        </is>
      </c>
      <c r="X263" t="inlineStr">
        <is>
          <t>1992-02-06</t>
        </is>
      </c>
      <c r="Y263" t="n">
        <v>69</v>
      </c>
      <c r="Z263" t="n">
        <v>51</v>
      </c>
      <c r="AA263" t="n">
        <v>65</v>
      </c>
      <c r="AB263" t="n">
        <v>1</v>
      </c>
      <c r="AC263" t="n">
        <v>1</v>
      </c>
      <c r="AD263" t="n">
        <v>13</v>
      </c>
      <c r="AE263" t="n">
        <v>13</v>
      </c>
      <c r="AF263" t="n">
        <v>3</v>
      </c>
      <c r="AG263" t="n">
        <v>3</v>
      </c>
      <c r="AH263" t="n">
        <v>2</v>
      </c>
      <c r="AI263" t="n">
        <v>2</v>
      </c>
      <c r="AJ263" t="n">
        <v>12</v>
      </c>
      <c r="AK263" t="n">
        <v>12</v>
      </c>
      <c r="AL263" t="n">
        <v>0</v>
      </c>
      <c r="AM263" t="n">
        <v>0</v>
      </c>
      <c r="AN263" t="n">
        <v>0</v>
      </c>
      <c r="AO263" t="n">
        <v>0</v>
      </c>
      <c r="AP263" t="inlineStr">
        <is>
          <t>Yes</t>
        </is>
      </c>
      <c r="AQ263" t="inlineStr">
        <is>
          <t>No</t>
        </is>
      </c>
      <c r="AR263">
        <f>HYPERLINK("http://catalog.hathitrust.org/Record/008911019","HathiTrust Record")</f>
        <v/>
      </c>
      <c r="AS263">
        <f>HYPERLINK("https://creighton-primo.hosted.exlibrisgroup.com/primo-explore/search?tab=default_tab&amp;search_scope=EVERYTHING&amp;vid=01CRU&amp;lang=en_US&amp;offset=0&amp;query=any,contains,991004862779702656","Catalog Record")</f>
        <v/>
      </c>
      <c r="AT263">
        <f>HYPERLINK("http://www.worldcat.org/oclc/5719273","WorldCat Record")</f>
        <v/>
      </c>
      <c r="AU263" t="inlineStr">
        <is>
          <t>426111197:fre</t>
        </is>
      </c>
      <c r="AV263" t="inlineStr">
        <is>
          <t>5719273</t>
        </is>
      </c>
      <c r="AW263" t="inlineStr">
        <is>
          <t>991004862779702656</t>
        </is>
      </c>
      <c r="AX263" t="inlineStr">
        <is>
          <t>991004862779702656</t>
        </is>
      </c>
      <c r="AY263" t="inlineStr">
        <is>
          <t>2258301010002656</t>
        </is>
      </c>
      <c r="AZ263" t="inlineStr">
        <is>
          <t>BOOK</t>
        </is>
      </c>
      <c r="BC263" t="inlineStr">
        <is>
          <t>32285000927995</t>
        </is>
      </c>
      <c r="BD263" t="inlineStr">
        <is>
          <t>893236006</t>
        </is>
      </c>
    </row>
    <row r="264">
      <c r="A264" t="inlineStr">
        <is>
          <t>No</t>
        </is>
      </c>
      <c r="B264" t="inlineStr">
        <is>
          <t>BV2290 .Z3</t>
        </is>
      </c>
      <c r="C264" t="inlineStr">
        <is>
          <t>0                      BV 2290000Z  3</t>
        </is>
      </c>
      <c r="D264" t="inlineStr">
        <is>
          <t>Les Jésuites de la Russie-Blanche / par Stanislas Zalenski ; ouvrage traduit du polonais par Alexandre Vivier.</t>
        </is>
      </c>
      <c r="E264" t="inlineStr">
        <is>
          <t>V.2</t>
        </is>
      </c>
      <c r="F264" t="inlineStr">
        <is>
          <t>Yes</t>
        </is>
      </c>
      <c r="G264" t="inlineStr">
        <is>
          <t>1</t>
        </is>
      </c>
      <c r="H264" t="inlineStr">
        <is>
          <t>No</t>
        </is>
      </c>
      <c r="I264" t="inlineStr">
        <is>
          <t>No</t>
        </is>
      </c>
      <c r="J264" t="inlineStr">
        <is>
          <t>0</t>
        </is>
      </c>
      <c r="K264" t="inlineStr">
        <is>
          <t>Załęski, Stanisław.</t>
        </is>
      </c>
      <c r="L264" t="inlineStr">
        <is>
          <t>Paris : Letouzey et Ané, [1886?]</t>
        </is>
      </c>
      <c r="M264" t="inlineStr">
        <is>
          <t>1886</t>
        </is>
      </c>
      <c r="O264" t="inlineStr">
        <is>
          <t>fre</t>
        </is>
      </c>
      <c r="P264" t="inlineStr">
        <is>
          <t xml:space="preserve">fr </t>
        </is>
      </c>
      <c r="R264" t="inlineStr">
        <is>
          <t xml:space="preserve">BV </t>
        </is>
      </c>
      <c r="S264" t="n">
        <v>0</v>
      </c>
      <c r="T264" t="n">
        <v>2</v>
      </c>
      <c r="V264" t="inlineStr">
        <is>
          <t>2006-01-05</t>
        </is>
      </c>
      <c r="W264" t="inlineStr">
        <is>
          <t>1992-02-06</t>
        </is>
      </c>
      <c r="X264" t="inlineStr">
        <is>
          <t>1992-02-06</t>
        </is>
      </c>
      <c r="Y264" t="n">
        <v>69</v>
      </c>
      <c r="Z264" t="n">
        <v>51</v>
      </c>
      <c r="AA264" t="n">
        <v>65</v>
      </c>
      <c r="AB264" t="n">
        <v>1</v>
      </c>
      <c r="AC264" t="n">
        <v>1</v>
      </c>
      <c r="AD264" t="n">
        <v>13</v>
      </c>
      <c r="AE264" t="n">
        <v>13</v>
      </c>
      <c r="AF264" t="n">
        <v>3</v>
      </c>
      <c r="AG264" t="n">
        <v>3</v>
      </c>
      <c r="AH264" t="n">
        <v>2</v>
      </c>
      <c r="AI264" t="n">
        <v>2</v>
      </c>
      <c r="AJ264" t="n">
        <v>12</v>
      </c>
      <c r="AK264" t="n">
        <v>12</v>
      </c>
      <c r="AL264" t="n">
        <v>0</v>
      </c>
      <c r="AM264" t="n">
        <v>0</v>
      </c>
      <c r="AN264" t="n">
        <v>0</v>
      </c>
      <c r="AO264" t="n">
        <v>0</v>
      </c>
      <c r="AP264" t="inlineStr">
        <is>
          <t>Yes</t>
        </is>
      </c>
      <c r="AQ264" t="inlineStr">
        <is>
          <t>No</t>
        </is>
      </c>
      <c r="AR264">
        <f>HYPERLINK("http://catalog.hathitrust.org/Record/008911019","HathiTrust Record")</f>
        <v/>
      </c>
      <c r="AS264">
        <f>HYPERLINK("https://creighton-primo.hosted.exlibrisgroup.com/primo-explore/search?tab=default_tab&amp;search_scope=EVERYTHING&amp;vid=01CRU&amp;lang=en_US&amp;offset=0&amp;query=any,contains,991004862779702656","Catalog Record")</f>
        <v/>
      </c>
      <c r="AT264">
        <f>HYPERLINK("http://www.worldcat.org/oclc/5719273","WorldCat Record")</f>
        <v/>
      </c>
      <c r="AU264" t="inlineStr">
        <is>
          <t>426111197:fre</t>
        </is>
      </c>
      <c r="AV264" t="inlineStr">
        <is>
          <t>5719273</t>
        </is>
      </c>
      <c r="AW264" t="inlineStr">
        <is>
          <t>991004862779702656</t>
        </is>
      </c>
      <c r="AX264" t="inlineStr">
        <is>
          <t>991004862779702656</t>
        </is>
      </c>
      <c r="AY264" t="inlineStr">
        <is>
          <t>2258301010002656</t>
        </is>
      </c>
      <c r="AZ264" t="inlineStr">
        <is>
          <t>BOOK</t>
        </is>
      </c>
      <c r="BC264" t="inlineStr">
        <is>
          <t>32285000928001</t>
        </is>
      </c>
      <c r="BD264" t="inlineStr">
        <is>
          <t>893229934</t>
        </is>
      </c>
    </row>
    <row r="265">
      <c r="A265" t="inlineStr">
        <is>
          <t>No</t>
        </is>
      </c>
      <c r="B265" t="inlineStr">
        <is>
          <t>BV2290.A63 C3 1999</t>
        </is>
      </c>
      <c r="C265" t="inlineStr">
        <is>
          <t>0                      BV 2290000A  63                 C  3           1999</t>
        </is>
      </c>
      <c r="D265" t="inlineStr">
        <is>
          <t>The beginning of Acadia, 1602-1616 / by Lucien Campeau ; translated by William P. Lonc and George F. Topp.</t>
        </is>
      </c>
      <c r="E265" t="inlineStr">
        <is>
          <t>V. 1</t>
        </is>
      </c>
      <c r="F265" t="inlineStr">
        <is>
          <t>Yes</t>
        </is>
      </c>
      <c r="G265" t="inlineStr">
        <is>
          <t>1</t>
        </is>
      </c>
      <c r="H265" t="inlineStr">
        <is>
          <t>No</t>
        </is>
      </c>
      <c r="I265" t="inlineStr">
        <is>
          <t>No</t>
        </is>
      </c>
      <c r="J265" t="inlineStr">
        <is>
          <t>0</t>
        </is>
      </c>
      <c r="K265" t="inlineStr">
        <is>
          <t>Campeau, Lucien.</t>
        </is>
      </c>
      <c r="L265" t="inlineStr">
        <is>
          <t>Bridgetown, N.S., Canada : Gontran Trottier, c1999-</t>
        </is>
      </c>
      <c r="M265" t="inlineStr">
        <is>
          <t>1999</t>
        </is>
      </c>
      <c r="O265" t="inlineStr">
        <is>
          <t>eng</t>
        </is>
      </c>
      <c r="P265" t="inlineStr">
        <is>
          <t>nsc</t>
        </is>
      </c>
      <c r="R265" t="inlineStr">
        <is>
          <t xml:space="preserve">BV </t>
        </is>
      </c>
      <c r="S265" t="n">
        <v>1</v>
      </c>
      <c r="T265" t="n">
        <v>3</v>
      </c>
      <c r="U265" t="inlineStr">
        <is>
          <t>2003-03-25</t>
        </is>
      </c>
      <c r="V265" t="inlineStr">
        <is>
          <t>2003-03-25</t>
        </is>
      </c>
      <c r="W265" t="inlineStr">
        <is>
          <t>2003-03-25</t>
        </is>
      </c>
      <c r="X265" t="inlineStr">
        <is>
          <t>2003-03-25</t>
        </is>
      </c>
      <c r="Y265" t="n">
        <v>12</v>
      </c>
      <c r="Z265" t="n">
        <v>7</v>
      </c>
      <c r="AA265" t="n">
        <v>7</v>
      </c>
      <c r="AB265" t="n">
        <v>1</v>
      </c>
      <c r="AC265" t="n">
        <v>1</v>
      </c>
      <c r="AD265" t="n">
        <v>5</v>
      </c>
      <c r="AE265" t="n">
        <v>5</v>
      </c>
      <c r="AF265" t="n">
        <v>2</v>
      </c>
      <c r="AG265" t="n">
        <v>2</v>
      </c>
      <c r="AH265" t="n">
        <v>1</v>
      </c>
      <c r="AI265" t="n">
        <v>1</v>
      </c>
      <c r="AJ265" t="n">
        <v>5</v>
      </c>
      <c r="AK265" t="n">
        <v>5</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HYPERLINK("https://creighton-primo.hosted.exlibrisgroup.com/primo-explore/search?tab=default_tab&amp;search_scope=EVERYTHING&amp;vid=01CRU&amp;lang=en_US&amp;offset=0&amp;query=any,contains,991003978389702656","Catalog Record")</f>
        <v/>
      </c>
      <c r="AT265">
        <f>HYPERLINK("http://www.worldcat.org/oclc/43801212","WorldCat Record")</f>
        <v/>
      </c>
      <c r="AU265" t="inlineStr">
        <is>
          <t>354622139:eng</t>
        </is>
      </c>
      <c r="AV265" t="inlineStr">
        <is>
          <t>43801212</t>
        </is>
      </c>
      <c r="AW265" t="inlineStr">
        <is>
          <t>991003978389702656</t>
        </is>
      </c>
      <c r="AX265" t="inlineStr">
        <is>
          <t>991003978389702656</t>
        </is>
      </c>
      <c r="AY265" t="inlineStr">
        <is>
          <t>2257419550002656</t>
        </is>
      </c>
      <c r="AZ265" t="inlineStr">
        <is>
          <t>BOOK</t>
        </is>
      </c>
      <c r="BB265" t="inlineStr">
        <is>
          <t>9781894438001</t>
        </is>
      </c>
      <c r="BC265" t="inlineStr">
        <is>
          <t>32285004685888</t>
        </is>
      </c>
      <c r="BD265" t="inlineStr">
        <is>
          <t>893599277</t>
        </is>
      </c>
    </row>
    <row r="266">
      <c r="A266" t="inlineStr">
        <is>
          <t>No</t>
        </is>
      </c>
      <c r="B266" t="inlineStr">
        <is>
          <t>BV2290.A63 C3 1999</t>
        </is>
      </c>
      <c r="C266" t="inlineStr">
        <is>
          <t>0                      BV 2290000A  63                 C  3           1999</t>
        </is>
      </c>
      <c r="D266" t="inlineStr">
        <is>
          <t>The beginning of Acadia, 1602-1616 / by Lucien Campeau ; translated by William P. Lonc and George F. Topp.</t>
        </is>
      </c>
      <c r="E266" t="inlineStr">
        <is>
          <t>V. 3</t>
        </is>
      </c>
      <c r="F266" t="inlineStr">
        <is>
          <t>Yes</t>
        </is>
      </c>
      <c r="G266" t="inlineStr">
        <is>
          <t>1</t>
        </is>
      </c>
      <c r="H266" t="inlineStr">
        <is>
          <t>No</t>
        </is>
      </c>
      <c r="I266" t="inlineStr">
        <is>
          <t>No</t>
        </is>
      </c>
      <c r="J266" t="inlineStr">
        <is>
          <t>0</t>
        </is>
      </c>
      <c r="K266" t="inlineStr">
        <is>
          <t>Campeau, Lucien.</t>
        </is>
      </c>
      <c r="L266" t="inlineStr">
        <is>
          <t>Bridgetown, N.S., Canada : Gontran Trottier, c1999-</t>
        </is>
      </c>
      <c r="M266" t="inlineStr">
        <is>
          <t>1999</t>
        </is>
      </c>
      <c r="O266" t="inlineStr">
        <is>
          <t>eng</t>
        </is>
      </c>
      <c r="P266" t="inlineStr">
        <is>
          <t>nsc</t>
        </is>
      </c>
      <c r="R266" t="inlineStr">
        <is>
          <t xml:space="preserve">BV </t>
        </is>
      </c>
      <c r="S266" t="n">
        <v>1</v>
      </c>
      <c r="T266" t="n">
        <v>3</v>
      </c>
      <c r="U266" t="inlineStr">
        <is>
          <t>2003-03-25</t>
        </is>
      </c>
      <c r="V266" t="inlineStr">
        <is>
          <t>2003-03-25</t>
        </is>
      </c>
      <c r="W266" t="inlineStr">
        <is>
          <t>2003-03-25</t>
        </is>
      </c>
      <c r="X266" t="inlineStr">
        <is>
          <t>2003-03-25</t>
        </is>
      </c>
      <c r="Y266" t="n">
        <v>12</v>
      </c>
      <c r="Z266" t="n">
        <v>7</v>
      </c>
      <c r="AA266" t="n">
        <v>7</v>
      </c>
      <c r="AB266" t="n">
        <v>1</v>
      </c>
      <c r="AC266" t="n">
        <v>1</v>
      </c>
      <c r="AD266" t="n">
        <v>5</v>
      </c>
      <c r="AE266" t="n">
        <v>5</v>
      </c>
      <c r="AF266" t="n">
        <v>2</v>
      </c>
      <c r="AG266" t="n">
        <v>2</v>
      </c>
      <c r="AH266" t="n">
        <v>1</v>
      </c>
      <c r="AI266" t="n">
        <v>1</v>
      </c>
      <c r="AJ266" t="n">
        <v>5</v>
      </c>
      <c r="AK266" t="n">
        <v>5</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HYPERLINK("https://creighton-primo.hosted.exlibrisgroup.com/primo-explore/search?tab=default_tab&amp;search_scope=EVERYTHING&amp;vid=01CRU&amp;lang=en_US&amp;offset=0&amp;query=any,contains,991003978389702656","Catalog Record")</f>
        <v/>
      </c>
      <c r="AT266">
        <f>HYPERLINK("http://www.worldcat.org/oclc/43801212","WorldCat Record")</f>
        <v/>
      </c>
      <c r="AU266" t="inlineStr">
        <is>
          <t>354622139:eng</t>
        </is>
      </c>
      <c r="AV266" t="inlineStr">
        <is>
          <t>43801212</t>
        </is>
      </c>
      <c r="AW266" t="inlineStr">
        <is>
          <t>991003978389702656</t>
        </is>
      </c>
      <c r="AX266" t="inlineStr">
        <is>
          <t>991003978389702656</t>
        </is>
      </c>
      <c r="AY266" t="inlineStr">
        <is>
          <t>2257419550002656</t>
        </is>
      </c>
      <c r="AZ266" t="inlineStr">
        <is>
          <t>BOOK</t>
        </is>
      </c>
      <c r="BB266" t="inlineStr">
        <is>
          <t>9781894438001</t>
        </is>
      </c>
      <c r="BC266" t="inlineStr">
        <is>
          <t>32285004685904</t>
        </is>
      </c>
      <c r="BD266" t="inlineStr">
        <is>
          <t>893624188</t>
        </is>
      </c>
    </row>
    <row r="267">
      <c r="A267" t="inlineStr">
        <is>
          <t>No</t>
        </is>
      </c>
      <c r="B267" t="inlineStr">
        <is>
          <t>BV2290.A63 C3 1999</t>
        </is>
      </c>
      <c r="C267" t="inlineStr">
        <is>
          <t>0                      BV 2290000A  63                 C  3           1999</t>
        </is>
      </c>
      <c r="D267" t="inlineStr">
        <is>
          <t>The beginning of Acadia, 1602-1616 / by Lucien Campeau ; translated by William P. Lonc and George F. Topp.</t>
        </is>
      </c>
      <c r="E267" t="inlineStr">
        <is>
          <t>V. 2</t>
        </is>
      </c>
      <c r="F267" t="inlineStr">
        <is>
          <t>Yes</t>
        </is>
      </c>
      <c r="G267" t="inlineStr">
        <is>
          <t>1</t>
        </is>
      </c>
      <c r="H267" t="inlineStr">
        <is>
          <t>No</t>
        </is>
      </c>
      <c r="I267" t="inlineStr">
        <is>
          <t>No</t>
        </is>
      </c>
      <c r="J267" t="inlineStr">
        <is>
          <t>0</t>
        </is>
      </c>
      <c r="K267" t="inlineStr">
        <is>
          <t>Campeau, Lucien.</t>
        </is>
      </c>
      <c r="L267" t="inlineStr">
        <is>
          <t>Bridgetown, N.S., Canada : Gontran Trottier, c1999-</t>
        </is>
      </c>
      <c r="M267" t="inlineStr">
        <is>
          <t>1999</t>
        </is>
      </c>
      <c r="O267" t="inlineStr">
        <is>
          <t>eng</t>
        </is>
      </c>
      <c r="P267" t="inlineStr">
        <is>
          <t>nsc</t>
        </is>
      </c>
      <c r="R267" t="inlineStr">
        <is>
          <t xml:space="preserve">BV </t>
        </is>
      </c>
      <c r="S267" t="n">
        <v>1</v>
      </c>
      <c r="T267" t="n">
        <v>3</v>
      </c>
      <c r="U267" t="inlineStr">
        <is>
          <t>2003-03-25</t>
        </is>
      </c>
      <c r="V267" t="inlineStr">
        <is>
          <t>2003-03-25</t>
        </is>
      </c>
      <c r="W267" t="inlineStr">
        <is>
          <t>2003-03-25</t>
        </is>
      </c>
      <c r="X267" t="inlineStr">
        <is>
          <t>2003-03-25</t>
        </is>
      </c>
      <c r="Y267" t="n">
        <v>12</v>
      </c>
      <c r="Z267" t="n">
        <v>7</v>
      </c>
      <c r="AA267" t="n">
        <v>7</v>
      </c>
      <c r="AB267" t="n">
        <v>1</v>
      </c>
      <c r="AC267" t="n">
        <v>1</v>
      </c>
      <c r="AD267" t="n">
        <v>5</v>
      </c>
      <c r="AE267" t="n">
        <v>5</v>
      </c>
      <c r="AF267" t="n">
        <v>2</v>
      </c>
      <c r="AG267" t="n">
        <v>2</v>
      </c>
      <c r="AH267" t="n">
        <v>1</v>
      </c>
      <c r="AI267" t="n">
        <v>1</v>
      </c>
      <c r="AJ267" t="n">
        <v>5</v>
      </c>
      <c r="AK267" t="n">
        <v>5</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HYPERLINK("https://creighton-primo.hosted.exlibrisgroup.com/primo-explore/search?tab=default_tab&amp;search_scope=EVERYTHING&amp;vid=01CRU&amp;lang=en_US&amp;offset=0&amp;query=any,contains,991003978389702656","Catalog Record")</f>
        <v/>
      </c>
      <c r="AT267">
        <f>HYPERLINK("http://www.worldcat.org/oclc/43801212","WorldCat Record")</f>
        <v/>
      </c>
      <c r="AU267" t="inlineStr">
        <is>
          <t>354622139:eng</t>
        </is>
      </c>
      <c r="AV267" t="inlineStr">
        <is>
          <t>43801212</t>
        </is>
      </c>
      <c r="AW267" t="inlineStr">
        <is>
          <t>991003978389702656</t>
        </is>
      </c>
      <c r="AX267" t="inlineStr">
        <is>
          <t>991003978389702656</t>
        </is>
      </c>
      <c r="AY267" t="inlineStr">
        <is>
          <t>2257419550002656</t>
        </is>
      </c>
      <c r="AZ267" t="inlineStr">
        <is>
          <t>BOOK</t>
        </is>
      </c>
      <c r="BB267" t="inlineStr">
        <is>
          <t>9781894438001</t>
        </is>
      </c>
      <c r="BC267" t="inlineStr">
        <is>
          <t>32285004685896</t>
        </is>
      </c>
      <c r="BD267" t="inlineStr">
        <is>
          <t>893599276</t>
        </is>
      </c>
    </row>
    <row r="268">
      <c r="A268" t="inlineStr">
        <is>
          <t>No</t>
        </is>
      </c>
      <c r="B268" t="inlineStr">
        <is>
          <t>BV230 .B44 1908</t>
        </is>
      </c>
      <c r="C268" t="inlineStr">
        <is>
          <t>0                      BV 0230000B  44          1908</t>
        </is>
      </c>
      <c r="D268" t="inlineStr">
        <is>
          <t>The Lord's prayer and the Hail Mary : points for meditation / by Stephen Beissel.</t>
        </is>
      </c>
      <c r="F268" t="inlineStr">
        <is>
          <t>No</t>
        </is>
      </c>
      <c r="G268" t="inlineStr">
        <is>
          <t>1</t>
        </is>
      </c>
      <c r="H268" t="inlineStr">
        <is>
          <t>No</t>
        </is>
      </c>
      <c r="I268" t="inlineStr">
        <is>
          <t>No</t>
        </is>
      </c>
      <c r="J268" t="inlineStr">
        <is>
          <t>0</t>
        </is>
      </c>
      <c r="K268" t="inlineStr">
        <is>
          <t>Beissel, Stephan, 1841-1915.</t>
        </is>
      </c>
      <c r="L268" t="inlineStr">
        <is>
          <t>St. Louis ; Freiburg (Baden) : B. Herder ; London ; Edinburgh : Sands, 1908.</t>
        </is>
      </c>
      <c r="M268" t="inlineStr">
        <is>
          <t>1908</t>
        </is>
      </c>
      <c r="O268" t="inlineStr">
        <is>
          <t>eng</t>
        </is>
      </c>
      <c r="P268" t="inlineStr">
        <is>
          <t>mou</t>
        </is>
      </c>
      <c r="R268" t="inlineStr">
        <is>
          <t xml:space="preserve">BV </t>
        </is>
      </c>
      <c r="S268" t="n">
        <v>2</v>
      </c>
      <c r="T268" t="n">
        <v>2</v>
      </c>
      <c r="U268" t="inlineStr">
        <is>
          <t>2003-07-09</t>
        </is>
      </c>
      <c r="V268" t="inlineStr">
        <is>
          <t>2003-07-09</t>
        </is>
      </c>
      <c r="W268" t="inlineStr">
        <is>
          <t>1991-12-05</t>
        </is>
      </c>
      <c r="X268" t="inlineStr">
        <is>
          <t>1991-12-05</t>
        </is>
      </c>
      <c r="Y268" t="n">
        <v>28</v>
      </c>
      <c r="Z268" t="n">
        <v>25</v>
      </c>
      <c r="AA268" t="n">
        <v>25</v>
      </c>
      <c r="AB268" t="n">
        <v>1</v>
      </c>
      <c r="AC268" t="n">
        <v>1</v>
      </c>
      <c r="AD268" t="n">
        <v>7</v>
      </c>
      <c r="AE268" t="n">
        <v>7</v>
      </c>
      <c r="AF268" t="n">
        <v>0</v>
      </c>
      <c r="AG268" t="n">
        <v>0</v>
      </c>
      <c r="AH268" t="n">
        <v>1</v>
      </c>
      <c r="AI268" t="n">
        <v>1</v>
      </c>
      <c r="AJ268" t="n">
        <v>6</v>
      </c>
      <c r="AK268" t="n">
        <v>6</v>
      </c>
      <c r="AL268" t="n">
        <v>0</v>
      </c>
      <c r="AM268" t="n">
        <v>0</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HYPERLINK("https://creighton-primo.hosted.exlibrisgroup.com/primo-explore/search?tab=default_tab&amp;search_scope=EVERYTHING&amp;vid=01CRU&amp;lang=en_US&amp;offset=0&amp;query=any,contains,991005118729702656","Catalog Record")</f>
        <v/>
      </c>
      <c r="AT268">
        <f>HYPERLINK("http://www.worldcat.org/oclc/7471798","WorldCat Record")</f>
        <v/>
      </c>
      <c r="AU268" t="inlineStr">
        <is>
          <t>43265618:eng</t>
        </is>
      </c>
      <c r="AV268" t="inlineStr">
        <is>
          <t>7471798</t>
        </is>
      </c>
      <c r="AW268" t="inlineStr">
        <is>
          <t>991005118729702656</t>
        </is>
      </c>
      <c r="AX268" t="inlineStr">
        <is>
          <t>991005118729702656</t>
        </is>
      </c>
      <c r="AY268" t="inlineStr">
        <is>
          <t>2266935500002656</t>
        </is>
      </c>
      <c r="AZ268" t="inlineStr">
        <is>
          <t>BOOK</t>
        </is>
      </c>
      <c r="BC268" t="inlineStr">
        <is>
          <t>32285000837301</t>
        </is>
      </c>
      <c r="BD268" t="inlineStr">
        <is>
          <t>893320053</t>
        </is>
      </c>
    </row>
    <row r="269">
      <c r="A269" t="inlineStr">
        <is>
          <t>No</t>
        </is>
      </c>
      <c r="B269" t="inlineStr">
        <is>
          <t>BV230 .C18 1969</t>
        </is>
      </c>
      <c r="C269" t="inlineStr">
        <is>
          <t>0                      BV 0230000C  18          1969</t>
        </is>
      </c>
      <c r="D269" t="inlineStr">
        <is>
          <t>Recherches sur le "Notre Père" / Jean Carmignac.</t>
        </is>
      </c>
      <c r="F269" t="inlineStr">
        <is>
          <t>No</t>
        </is>
      </c>
      <c r="G269" t="inlineStr">
        <is>
          <t>1</t>
        </is>
      </c>
      <c r="H269" t="inlineStr">
        <is>
          <t>No</t>
        </is>
      </c>
      <c r="I269" t="inlineStr">
        <is>
          <t>No</t>
        </is>
      </c>
      <c r="J269" t="inlineStr">
        <is>
          <t>0</t>
        </is>
      </c>
      <c r="K269" t="inlineStr">
        <is>
          <t>Carmignac, Jean.</t>
        </is>
      </c>
      <c r="L269" t="inlineStr">
        <is>
          <t>Paris : Letouzey &amp; Ané, 1969.</t>
        </is>
      </c>
      <c r="M269" t="inlineStr">
        <is>
          <t>1969</t>
        </is>
      </c>
      <c r="O269" t="inlineStr">
        <is>
          <t>fre</t>
        </is>
      </c>
      <c r="P269" t="inlineStr">
        <is>
          <t>___</t>
        </is>
      </c>
      <c r="R269" t="inlineStr">
        <is>
          <t xml:space="preserve">BV </t>
        </is>
      </c>
      <c r="S269" t="n">
        <v>5</v>
      </c>
      <c r="T269" t="n">
        <v>5</v>
      </c>
      <c r="U269" t="inlineStr">
        <is>
          <t>2004-11-10</t>
        </is>
      </c>
      <c r="V269" t="inlineStr">
        <is>
          <t>2004-11-10</t>
        </is>
      </c>
      <c r="W269" t="inlineStr">
        <is>
          <t>1991-12-05</t>
        </is>
      </c>
      <c r="X269" t="inlineStr">
        <is>
          <t>1991-12-05</t>
        </is>
      </c>
      <c r="Y269" t="n">
        <v>131</v>
      </c>
      <c r="Z269" t="n">
        <v>73</v>
      </c>
      <c r="AA269" t="n">
        <v>75</v>
      </c>
      <c r="AB269" t="n">
        <v>1</v>
      </c>
      <c r="AC269" t="n">
        <v>1</v>
      </c>
      <c r="AD269" t="n">
        <v>13</v>
      </c>
      <c r="AE269" t="n">
        <v>13</v>
      </c>
      <c r="AF269" t="n">
        <v>2</v>
      </c>
      <c r="AG269" t="n">
        <v>2</v>
      </c>
      <c r="AH269" t="n">
        <v>5</v>
      </c>
      <c r="AI269" t="n">
        <v>5</v>
      </c>
      <c r="AJ269" t="n">
        <v>11</v>
      </c>
      <c r="AK269" t="n">
        <v>11</v>
      </c>
      <c r="AL269" t="n">
        <v>0</v>
      </c>
      <c r="AM269" t="n">
        <v>0</v>
      </c>
      <c r="AN269" t="n">
        <v>0</v>
      </c>
      <c r="AO269" t="n">
        <v>0</v>
      </c>
      <c r="AP269" t="inlineStr">
        <is>
          <t>No</t>
        </is>
      </c>
      <c r="AQ269" t="inlineStr">
        <is>
          <t>Yes</t>
        </is>
      </c>
      <c r="AR269">
        <f>HYPERLINK("http://catalog.hathitrust.org/Record/001413143","HathiTrust Record")</f>
        <v/>
      </c>
      <c r="AS269">
        <f>HYPERLINK("https://creighton-primo.hosted.exlibrisgroup.com/primo-explore/search?tab=default_tab&amp;search_scope=EVERYTHING&amp;vid=01CRU&amp;lang=en_US&amp;offset=0&amp;query=any,contains,991003394189702656","Catalog Record")</f>
        <v/>
      </c>
      <c r="AT269">
        <f>HYPERLINK("http://www.worldcat.org/oclc/932719","WorldCat Record")</f>
        <v/>
      </c>
      <c r="AU269" t="inlineStr">
        <is>
          <t>1884661:fre</t>
        </is>
      </c>
      <c r="AV269" t="inlineStr">
        <is>
          <t>932719</t>
        </is>
      </c>
      <c r="AW269" t="inlineStr">
        <is>
          <t>991003394189702656</t>
        </is>
      </c>
      <c r="AX269" t="inlineStr">
        <is>
          <t>991003394189702656</t>
        </is>
      </c>
      <c r="AY269" t="inlineStr">
        <is>
          <t>2272196860002656</t>
        </is>
      </c>
      <c r="AZ269" t="inlineStr">
        <is>
          <t>BOOK</t>
        </is>
      </c>
      <c r="BC269" t="inlineStr">
        <is>
          <t>32285000837335</t>
        </is>
      </c>
      <c r="BD269" t="inlineStr">
        <is>
          <t>893611006</t>
        </is>
      </c>
    </row>
    <row r="270">
      <c r="A270" t="inlineStr">
        <is>
          <t>No</t>
        </is>
      </c>
      <c r="B270" t="inlineStr">
        <is>
          <t>BV230 .C75 2002</t>
        </is>
      </c>
      <c r="C270" t="inlineStr">
        <is>
          <t>0                      BV 0230000C  75          2002</t>
        </is>
      </c>
      <c r="D270" t="inlineStr">
        <is>
          <t>The prayer that Jesus taught us / Michael H. Crosby.</t>
        </is>
      </c>
      <c r="F270" t="inlineStr">
        <is>
          <t>No</t>
        </is>
      </c>
      <c r="G270" t="inlineStr">
        <is>
          <t>1</t>
        </is>
      </c>
      <c r="H270" t="inlineStr">
        <is>
          <t>No</t>
        </is>
      </c>
      <c r="I270" t="inlineStr">
        <is>
          <t>No</t>
        </is>
      </c>
      <c r="J270" t="inlineStr">
        <is>
          <t>0</t>
        </is>
      </c>
      <c r="K270" t="inlineStr">
        <is>
          <t>Crosby, Michael, 1940-</t>
        </is>
      </c>
      <c r="L270" t="inlineStr">
        <is>
          <t>Maryknoll, N.Y. : Orbis Books, c2002.</t>
        </is>
      </c>
      <c r="M270" t="inlineStr">
        <is>
          <t>2002</t>
        </is>
      </c>
      <c r="O270" t="inlineStr">
        <is>
          <t>eng</t>
        </is>
      </c>
      <c r="P270" t="inlineStr">
        <is>
          <t>nyu</t>
        </is>
      </c>
      <c r="R270" t="inlineStr">
        <is>
          <t xml:space="preserve">BV </t>
        </is>
      </c>
      <c r="S270" t="n">
        <v>7</v>
      </c>
      <c r="T270" t="n">
        <v>7</v>
      </c>
      <c r="U270" t="inlineStr">
        <is>
          <t>2008-04-21</t>
        </is>
      </c>
      <c r="V270" t="inlineStr">
        <is>
          <t>2008-04-21</t>
        </is>
      </c>
      <c r="W270" t="inlineStr">
        <is>
          <t>2002-08-22</t>
        </is>
      </c>
      <c r="X270" t="inlineStr">
        <is>
          <t>2002-08-22</t>
        </is>
      </c>
      <c r="Y270" t="n">
        <v>158</v>
      </c>
      <c r="Z270" t="n">
        <v>130</v>
      </c>
      <c r="AA270" t="n">
        <v>137</v>
      </c>
      <c r="AB270" t="n">
        <v>1</v>
      </c>
      <c r="AC270" t="n">
        <v>1</v>
      </c>
      <c r="AD270" t="n">
        <v>9</v>
      </c>
      <c r="AE270" t="n">
        <v>9</v>
      </c>
      <c r="AF270" t="n">
        <v>3</v>
      </c>
      <c r="AG270" t="n">
        <v>3</v>
      </c>
      <c r="AH270" t="n">
        <v>3</v>
      </c>
      <c r="AI270" t="n">
        <v>3</v>
      </c>
      <c r="AJ270" t="n">
        <v>6</v>
      </c>
      <c r="AK270" t="n">
        <v>6</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HYPERLINK("https://creighton-primo.hosted.exlibrisgroup.com/primo-explore/search?tab=default_tab&amp;search_scope=EVERYTHING&amp;vid=01CRU&amp;lang=en_US&amp;offset=0&amp;query=any,contains,991003841199702656","Catalog Record")</f>
        <v/>
      </c>
      <c r="AT270">
        <f>HYPERLINK("http://www.worldcat.org/oclc/48851167","WorldCat Record")</f>
        <v/>
      </c>
      <c r="AU270" t="inlineStr">
        <is>
          <t>1052423:eng</t>
        </is>
      </c>
      <c r="AV270" t="inlineStr">
        <is>
          <t>48851167</t>
        </is>
      </c>
      <c r="AW270" t="inlineStr">
        <is>
          <t>991003841199702656</t>
        </is>
      </c>
      <c r="AX270" t="inlineStr">
        <is>
          <t>991003841199702656</t>
        </is>
      </c>
      <c r="AY270" t="inlineStr">
        <is>
          <t>2261873110002656</t>
        </is>
      </c>
      <c r="AZ270" t="inlineStr">
        <is>
          <t>BOOK</t>
        </is>
      </c>
      <c r="BB270" t="inlineStr">
        <is>
          <t>9781570754098</t>
        </is>
      </c>
      <c r="BC270" t="inlineStr">
        <is>
          <t>32285004644745</t>
        </is>
      </c>
      <c r="BD270" t="inlineStr">
        <is>
          <t>893499772</t>
        </is>
      </c>
    </row>
    <row r="271">
      <c r="A271" t="inlineStr">
        <is>
          <t>No</t>
        </is>
      </c>
      <c r="B271" t="inlineStr">
        <is>
          <t>BV230 .D684 1994</t>
        </is>
      </c>
      <c r="C271" t="inlineStr">
        <is>
          <t>0                      BV 0230000D  684         1994</t>
        </is>
      </c>
      <c r="D271" t="inlineStr">
        <is>
          <t>Prayers of the cosmos : meditations on the Aramaic words of Jesus / translated and with commentary by Neil Douglas-Klotz ; foreword by Matthew Fox.</t>
        </is>
      </c>
      <c r="F271" t="inlineStr">
        <is>
          <t>No</t>
        </is>
      </c>
      <c r="G271" t="inlineStr">
        <is>
          <t>1</t>
        </is>
      </c>
      <c r="H271" t="inlineStr">
        <is>
          <t>No</t>
        </is>
      </c>
      <c r="I271" t="inlineStr">
        <is>
          <t>No</t>
        </is>
      </c>
      <c r="J271" t="inlineStr">
        <is>
          <t>0</t>
        </is>
      </c>
      <c r="K271" t="inlineStr">
        <is>
          <t>Douglas-Klotz, Neil.</t>
        </is>
      </c>
      <c r="L271" t="inlineStr">
        <is>
          <t>San Francisco : Harper, c1994.</t>
        </is>
      </c>
      <c r="M271" t="inlineStr">
        <is>
          <t>1994</t>
        </is>
      </c>
      <c r="N271" t="inlineStr">
        <is>
          <t>1st HarperCollins pbk. ed.</t>
        </is>
      </c>
      <c r="O271" t="inlineStr">
        <is>
          <t>eng</t>
        </is>
      </c>
      <c r="P271" t="inlineStr">
        <is>
          <t>cau</t>
        </is>
      </c>
      <c r="R271" t="inlineStr">
        <is>
          <t xml:space="preserve">BV </t>
        </is>
      </c>
      <c r="S271" t="n">
        <v>2</v>
      </c>
      <c r="T271" t="n">
        <v>2</v>
      </c>
      <c r="U271" t="inlineStr">
        <is>
          <t>2010-07-20</t>
        </is>
      </c>
      <c r="V271" t="inlineStr">
        <is>
          <t>2010-07-20</t>
        </is>
      </c>
      <c r="W271" t="inlineStr">
        <is>
          <t>2008-09-10</t>
        </is>
      </c>
      <c r="X271" t="inlineStr">
        <is>
          <t>2008-09-10</t>
        </is>
      </c>
      <c r="Y271" t="n">
        <v>104</v>
      </c>
      <c r="Z271" t="n">
        <v>89</v>
      </c>
      <c r="AA271" t="n">
        <v>250</v>
      </c>
      <c r="AB271" t="n">
        <v>1</v>
      </c>
      <c r="AC271" t="n">
        <v>2</v>
      </c>
      <c r="AD271" t="n">
        <v>2</v>
      </c>
      <c r="AE271" t="n">
        <v>10</v>
      </c>
      <c r="AF271" t="n">
        <v>1</v>
      </c>
      <c r="AG271" t="n">
        <v>5</v>
      </c>
      <c r="AH271" t="n">
        <v>0</v>
      </c>
      <c r="AI271" t="n">
        <v>0</v>
      </c>
      <c r="AJ271" t="n">
        <v>2</v>
      </c>
      <c r="AK271" t="n">
        <v>7</v>
      </c>
      <c r="AL271" t="n">
        <v>0</v>
      </c>
      <c r="AM271" t="n">
        <v>1</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HYPERLINK("https://creighton-primo.hosted.exlibrisgroup.com/primo-explore/search?tab=default_tab&amp;search_scope=EVERYTHING&amp;vid=01CRU&amp;lang=en_US&amp;offset=0&amp;query=any,contains,991005263709702656","Catalog Record")</f>
        <v/>
      </c>
      <c r="AT271">
        <f>HYPERLINK("http://www.worldcat.org/oclc/30381631","WorldCat Record")</f>
        <v/>
      </c>
      <c r="AU271" t="inlineStr">
        <is>
          <t>155525958:eng</t>
        </is>
      </c>
      <c r="AV271" t="inlineStr">
        <is>
          <t>30381631</t>
        </is>
      </c>
      <c r="AW271" t="inlineStr">
        <is>
          <t>991005263709702656</t>
        </is>
      </c>
      <c r="AX271" t="inlineStr">
        <is>
          <t>991005263709702656</t>
        </is>
      </c>
      <c r="AY271" t="inlineStr">
        <is>
          <t>2269004290002656</t>
        </is>
      </c>
      <c r="AZ271" t="inlineStr">
        <is>
          <t>BOOK</t>
        </is>
      </c>
      <c r="BB271" t="inlineStr">
        <is>
          <t>9780060619954</t>
        </is>
      </c>
      <c r="BC271" t="inlineStr">
        <is>
          <t>32285005457808</t>
        </is>
      </c>
      <c r="BD271" t="inlineStr">
        <is>
          <t>893722868</t>
        </is>
      </c>
    </row>
    <row r="272">
      <c r="A272" t="inlineStr">
        <is>
          <t>No</t>
        </is>
      </c>
      <c r="B272" t="inlineStr">
        <is>
          <t>BV230 .E853 1965b</t>
        </is>
      </c>
      <c r="C272" t="inlineStr">
        <is>
          <t>0                      BV 0230000E  853         1965b</t>
        </is>
      </c>
      <c r="D272" t="inlineStr">
        <is>
          <t>We dare to say Our Father / Louis Evely. [Translated by James Langdale.</t>
        </is>
      </c>
      <c r="F272" t="inlineStr">
        <is>
          <t>No</t>
        </is>
      </c>
      <c r="G272" t="inlineStr">
        <is>
          <t>1</t>
        </is>
      </c>
      <c r="H272" t="inlineStr">
        <is>
          <t>No</t>
        </is>
      </c>
      <c r="I272" t="inlineStr">
        <is>
          <t>No</t>
        </is>
      </c>
      <c r="J272" t="inlineStr">
        <is>
          <t>0</t>
        </is>
      </c>
      <c r="K272" t="inlineStr">
        <is>
          <t>Évely, Louis, 1910-1985.</t>
        </is>
      </c>
      <c r="L272" t="inlineStr">
        <is>
          <t>New York] : Herder and Herder, [1965]</t>
        </is>
      </c>
      <c r="M272" t="inlineStr">
        <is>
          <t>1965</t>
        </is>
      </c>
      <c r="O272" t="inlineStr">
        <is>
          <t>eng</t>
        </is>
      </c>
      <c r="P272" t="inlineStr">
        <is>
          <t>nyu</t>
        </is>
      </c>
      <c r="R272" t="inlineStr">
        <is>
          <t xml:space="preserve">BV </t>
        </is>
      </c>
      <c r="S272" t="n">
        <v>3</v>
      </c>
      <c r="T272" t="n">
        <v>3</v>
      </c>
      <c r="U272" t="inlineStr">
        <is>
          <t>2006-10-06</t>
        </is>
      </c>
      <c r="V272" t="inlineStr">
        <is>
          <t>2006-10-06</t>
        </is>
      </c>
      <c r="W272" t="inlineStr">
        <is>
          <t>1992-06-09</t>
        </is>
      </c>
      <c r="X272" t="inlineStr">
        <is>
          <t>1992-06-09</t>
        </is>
      </c>
      <c r="Y272" t="n">
        <v>235</v>
      </c>
      <c r="Z272" t="n">
        <v>215</v>
      </c>
      <c r="AA272" t="n">
        <v>254</v>
      </c>
      <c r="AB272" t="n">
        <v>4</v>
      </c>
      <c r="AC272" t="n">
        <v>4</v>
      </c>
      <c r="AD272" t="n">
        <v>32</v>
      </c>
      <c r="AE272" t="n">
        <v>32</v>
      </c>
      <c r="AF272" t="n">
        <v>9</v>
      </c>
      <c r="AG272" t="n">
        <v>9</v>
      </c>
      <c r="AH272" t="n">
        <v>7</v>
      </c>
      <c r="AI272" t="n">
        <v>7</v>
      </c>
      <c r="AJ272" t="n">
        <v>24</v>
      </c>
      <c r="AK272" t="n">
        <v>24</v>
      </c>
      <c r="AL272" t="n">
        <v>2</v>
      </c>
      <c r="AM272" t="n">
        <v>2</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HYPERLINK("https://creighton-primo.hosted.exlibrisgroup.com/primo-explore/search?tab=default_tab&amp;search_scope=EVERYTHING&amp;vid=01CRU&amp;lang=en_US&amp;offset=0&amp;query=any,contains,991003868369702656","Catalog Record")</f>
        <v/>
      </c>
      <c r="AT272">
        <f>HYPERLINK("http://www.worldcat.org/oclc/1684630","WorldCat Record")</f>
        <v/>
      </c>
      <c r="AU272" t="inlineStr">
        <is>
          <t>5090685004:eng</t>
        </is>
      </c>
      <c r="AV272" t="inlineStr">
        <is>
          <t>1684630</t>
        </is>
      </c>
      <c r="AW272" t="inlineStr">
        <is>
          <t>991003868369702656</t>
        </is>
      </c>
      <c r="AX272" t="inlineStr">
        <is>
          <t>991003868369702656</t>
        </is>
      </c>
      <c r="AY272" t="inlineStr">
        <is>
          <t>2272737040002656</t>
        </is>
      </c>
      <c r="AZ272" t="inlineStr">
        <is>
          <t>BOOK</t>
        </is>
      </c>
      <c r="BC272" t="inlineStr">
        <is>
          <t>32285001074490</t>
        </is>
      </c>
      <c r="BD272" t="inlineStr">
        <is>
          <t>893617883</t>
        </is>
      </c>
    </row>
    <row r="273">
      <c r="A273" t="inlineStr">
        <is>
          <t>No</t>
        </is>
      </c>
      <c r="B273" t="inlineStr">
        <is>
          <t>BV230 .G773 1958</t>
        </is>
      </c>
      <c r="C273" t="inlineStr">
        <is>
          <t>0                      BV 0230000G  773         1958</t>
        </is>
      </c>
      <c r="D273" t="inlineStr">
        <is>
          <t>The Lord's prayer / by Romano Guardini. Translated from the German by Isabel McHugh.</t>
        </is>
      </c>
      <c r="F273" t="inlineStr">
        <is>
          <t>No</t>
        </is>
      </c>
      <c r="G273" t="inlineStr">
        <is>
          <t>1</t>
        </is>
      </c>
      <c r="H273" t="inlineStr">
        <is>
          <t>No</t>
        </is>
      </c>
      <c r="I273" t="inlineStr">
        <is>
          <t>No</t>
        </is>
      </c>
      <c r="J273" t="inlineStr">
        <is>
          <t>0</t>
        </is>
      </c>
      <c r="K273" t="inlineStr">
        <is>
          <t>Guardini, Romano, 1885-1968.</t>
        </is>
      </c>
      <c r="L273" t="inlineStr">
        <is>
          <t>[New York] : Pantheon Books, [1958]</t>
        </is>
      </c>
      <c r="M273" t="inlineStr">
        <is>
          <t>1958</t>
        </is>
      </c>
      <c r="O273" t="inlineStr">
        <is>
          <t>eng</t>
        </is>
      </c>
      <c r="P273" t="inlineStr">
        <is>
          <t xml:space="preserve">xx </t>
        </is>
      </c>
      <c r="R273" t="inlineStr">
        <is>
          <t xml:space="preserve">BV </t>
        </is>
      </c>
      <c r="S273" t="n">
        <v>8</v>
      </c>
      <c r="T273" t="n">
        <v>8</v>
      </c>
      <c r="U273" t="inlineStr">
        <is>
          <t>2006-10-06</t>
        </is>
      </c>
      <c r="V273" t="inlineStr">
        <is>
          <t>2006-10-06</t>
        </is>
      </c>
      <c r="W273" t="inlineStr">
        <is>
          <t>1991-12-05</t>
        </is>
      </c>
      <c r="X273" t="inlineStr">
        <is>
          <t>1991-12-05</t>
        </is>
      </c>
      <c r="Y273" t="n">
        <v>237</v>
      </c>
      <c r="Z273" t="n">
        <v>218</v>
      </c>
      <c r="AA273" t="n">
        <v>259</v>
      </c>
      <c r="AB273" t="n">
        <v>2</v>
      </c>
      <c r="AC273" t="n">
        <v>2</v>
      </c>
      <c r="AD273" t="n">
        <v>25</v>
      </c>
      <c r="AE273" t="n">
        <v>26</v>
      </c>
      <c r="AF273" t="n">
        <v>6</v>
      </c>
      <c r="AG273" t="n">
        <v>7</v>
      </c>
      <c r="AH273" t="n">
        <v>8</v>
      </c>
      <c r="AI273" t="n">
        <v>8</v>
      </c>
      <c r="AJ273" t="n">
        <v>21</v>
      </c>
      <c r="AK273" t="n">
        <v>22</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HYPERLINK("https://creighton-primo.hosted.exlibrisgroup.com/primo-explore/search?tab=default_tab&amp;search_scope=EVERYTHING&amp;vid=01CRU&amp;lang=en_US&amp;offset=0&amp;query=any,contains,991003247369702656","Catalog Record")</f>
        <v/>
      </c>
      <c r="AT273">
        <f>HYPERLINK("http://www.worldcat.org/oclc/772184","WorldCat Record")</f>
        <v/>
      </c>
      <c r="AU273" t="inlineStr">
        <is>
          <t>4494885784:eng</t>
        </is>
      </c>
      <c r="AV273" t="inlineStr">
        <is>
          <t>772184</t>
        </is>
      </c>
      <c r="AW273" t="inlineStr">
        <is>
          <t>991003247369702656</t>
        </is>
      </c>
      <c r="AX273" t="inlineStr">
        <is>
          <t>991003247369702656</t>
        </is>
      </c>
      <c r="AY273" t="inlineStr">
        <is>
          <t>2264291170002656</t>
        </is>
      </c>
      <c r="AZ273" t="inlineStr">
        <is>
          <t>BOOK</t>
        </is>
      </c>
      <c r="BC273" t="inlineStr">
        <is>
          <t>32285000837376</t>
        </is>
      </c>
      <c r="BD273" t="inlineStr">
        <is>
          <t>893410079</t>
        </is>
      </c>
    </row>
    <row r="274">
      <c r="A274" t="inlineStr">
        <is>
          <t>No</t>
        </is>
      </c>
      <c r="B274" t="inlineStr">
        <is>
          <t>BV230 .H327 1993</t>
        </is>
      </c>
      <c r="C274" t="inlineStr">
        <is>
          <t>0                      BV 0230000H  327         1993</t>
        </is>
      </c>
      <c r="D274" t="inlineStr">
        <is>
          <t>Swimming in the sun : discovering the Lord's Prayer with Francis of Assisi and Thomas Merton / Albert Haase, O.F.M.</t>
        </is>
      </c>
      <c r="F274" t="inlineStr">
        <is>
          <t>No</t>
        </is>
      </c>
      <c r="G274" t="inlineStr">
        <is>
          <t>1</t>
        </is>
      </c>
      <c r="H274" t="inlineStr">
        <is>
          <t>No</t>
        </is>
      </c>
      <c r="I274" t="inlineStr">
        <is>
          <t>No</t>
        </is>
      </c>
      <c r="J274" t="inlineStr">
        <is>
          <t>0</t>
        </is>
      </c>
      <c r="K274" t="inlineStr">
        <is>
          <t>Haase, Albert, 1955-</t>
        </is>
      </c>
      <c r="L274" t="inlineStr">
        <is>
          <t>Cincinnati : St. Anthony Messenger Pr., c1993.</t>
        </is>
      </c>
      <c r="M274" t="inlineStr">
        <is>
          <t>1993</t>
        </is>
      </c>
      <c r="O274" t="inlineStr">
        <is>
          <t>eng</t>
        </is>
      </c>
      <c r="P274" t="inlineStr">
        <is>
          <t>ohu</t>
        </is>
      </c>
      <c r="R274" t="inlineStr">
        <is>
          <t xml:space="preserve">BV </t>
        </is>
      </c>
      <c r="S274" t="n">
        <v>6</v>
      </c>
      <c r="T274" t="n">
        <v>6</v>
      </c>
      <c r="U274" t="inlineStr">
        <is>
          <t>2009-05-21</t>
        </is>
      </c>
      <c r="V274" t="inlineStr">
        <is>
          <t>2009-05-21</t>
        </is>
      </c>
      <c r="W274" t="inlineStr">
        <is>
          <t>1999-01-21</t>
        </is>
      </c>
      <c r="X274" t="inlineStr">
        <is>
          <t>1999-01-21</t>
        </is>
      </c>
      <c r="Y274" t="n">
        <v>94</v>
      </c>
      <c r="Z274" t="n">
        <v>80</v>
      </c>
      <c r="AA274" t="n">
        <v>80</v>
      </c>
      <c r="AB274" t="n">
        <v>1</v>
      </c>
      <c r="AC274" t="n">
        <v>1</v>
      </c>
      <c r="AD274" t="n">
        <v>7</v>
      </c>
      <c r="AE274" t="n">
        <v>7</v>
      </c>
      <c r="AF274" t="n">
        <v>2</v>
      </c>
      <c r="AG274" t="n">
        <v>2</v>
      </c>
      <c r="AH274" t="n">
        <v>1</v>
      </c>
      <c r="AI274" t="n">
        <v>1</v>
      </c>
      <c r="AJ274" t="n">
        <v>5</v>
      </c>
      <c r="AK274" t="n">
        <v>5</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HYPERLINK("https://creighton-primo.hosted.exlibrisgroup.com/primo-explore/search?tab=default_tab&amp;search_scope=EVERYTHING&amp;vid=01CRU&amp;lang=en_US&amp;offset=0&amp;query=any,contains,991002244249702656","Catalog Record")</f>
        <v/>
      </c>
      <c r="AT274">
        <f>HYPERLINK("http://www.worldcat.org/oclc/28947557","WorldCat Record")</f>
        <v/>
      </c>
      <c r="AU274" t="inlineStr">
        <is>
          <t>31643393:eng</t>
        </is>
      </c>
      <c r="AV274" t="inlineStr">
        <is>
          <t>28947557</t>
        </is>
      </c>
      <c r="AW274" t="inlineStr">
        <is>
          <t>991002244249702656</t>
        </is>
      </c>
      <c r="AX274" t="inlineStr">
        <is>
          <t>991002244249702656</t>
        </is>
      </c>
      <c r="AY274" t="inlineStr">
        <is>
          <t>2256811460002656</t>
        </is>
      </c>
      <c r="AZ274" t="inlineStr">
        <is>
          <t>BOOK</t>
        </is>
      </c>
      <c r="BB274" t="inlineStr">
        <is>
          <t>9780867161939</t>
        </is>
      </c>
      <c r="BC274" t="inlineStr">
        <is>
          <t>32285003514568</t>
        </is>
      </c>
      <c r="BD274" t="inlineStr">
        <is>
          <t>893523375</t>
        </is>
      </c>
    </row>
    <row r="275">
      <c r="A275" t="inlineStr">
        <is>
          <t>No</t>
        </is>
      </c>
      <c r="B275" t="inlineStr">
        <is>
          <t>BV230 .L399</t>
        </is>
      </c>
      <c r="C275" t="inlineStr">
        <is>
          <t>0                      BV 0230000L  399</t>
        </is>
      </c>
      <c r="D275" t="inlineStr">
        <is>
          <t>When we pray : meditations on the Lord's prayer / Eugene Laverdiere.</t>
        </is>
      </c>
      <c r="F275" t="inlineStr">
        <is>
          <t>No</t>
        </is>
      </c>
      <c r="G275" t="inlineStr">
        <is>
          <t>1</t>
        </is>
      </c>
      <c r="H275" t="inlineStr">
        <is>
          <t>No</t>
        </is>
      </c>
      <c r="I275" t="inlineStr">
        <is>
          <t>No</t>
        </is>
      </c>
      <c r="J275" t="inlineStr">
        <is>
          <t>0</t>
        </is>
      </c>
      <c r="K275" t="inlineStr">
        <is>
          <t>LaVerdiere, Eugene.</t>
        </is>
      </c>
      <c r="L275" t="inlineStr">
        <is>
          <t>Notre Dame, Ind. : Ave Maria Press, c1983.</t>
        </is>
      </c>
      <c r="M275" t="inlineStr">
        <is>
          <t>1983</t>
        </is>
      </c>
      <c r="O275" t="inlineStr">
        <is>
          <t>eng</t>
        </is>
      </c>
      <c r="P275" t="inlineStr">
        <is>
          <t>inu</t>
        </is>
      </c>
      <c r="R275" t="inlineStr">
        <is>
          <t xml:space="preserve">BV </t>
        </is>
      </c>
      <c r="S275" t="n">
        <v>4</v>
      </c>
      <c r="T275" t="n">
        <v>4</v>
      </c>
      <c r="U275" t="inlineStr">
        <is>
          <t>2001-04-05</t>
        </is>
      </c>
      <c r="V275" t="inlineStr">
        <is>
          <t>2001-04-05</t>
        </is>
      </c>
      <c r="W275" t="inlineStr">
        <is>
          <t>1991-12-05</t>
        </is>
      </c>
      <c r="X275" t="inlineStr">
        <is>
          <t>1991-12-05</t>
        </is>
      </c>
      <c r="Y275" t="n">
        <v>154</v>
      </c>
      <c r="Z275" t="n">
        <v>136</v>
      </c>
      <c r="AA275" t="n">
        <v>141</v>
      </c>
      <c r="AB275" t="n">
        <v>3</v>
      </c>
      <c r="AC275" t="n">
        <v>3</v>
      </c>
      <c r="AD275" t="n">
        <v>12</v>
      </c>
      <c r="AE275" t="n">
        <v>12</v>
      </c>
      <c r="AF275" t="n">
        <v>1</v>
      </c>
      <c r="AG275" t="n">
        <v>1</v>
      </c>
      <c r="AH275" t="n">
        <v>3</v>
      </c>
      <c r="AI275" t="n">
        <v>3</v>
      </c>
      <c r="AJ275" t="n">
        <v>9</v>
      </c>
      <c r="AK275" t="n">
        <v>9</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HYPERLINK("https://creighton-primo.hosted.exlibrisgroup.com/primo-explore/search?tab=default_tab&amp;search_scope=EVERYTHING&amp;vid=01CRU&amp;lang=en_US&amp;offset=0&amp;query=any,contains,991000137189702656","Catalog Record")</f>
        <v/>
      </c>
      <c r="AT275">
        <f>HYPERLINK("http://www.worldcat.org/oclc/9138605","WorldCat Record")</f>
        <v/>
      </c>
      <c r="AU275" t="inlineStr">
        <is>
          <t>43679662:eng</t>
        </is>
      </c>
      <c r="AV275" t="inlineStr">
        <is>
          <t>9138605</t>
        </is>
      </c>
      <c r="AW275" t="inlineStr">
        <is>
          <t>991000137189702656</t>
        </is>
      </c>
      <c r="AX275" t="inlineStr">
        <is>
          <t>991000137189702656</t>
        </is>
      </c>
      <c r="AY275" t="inlineStr">
        <is>
          <t>2264470220002656</t>
        </is>
      </c>
      <c r="AZ275" t="inlineStr">
        <is>
          <t>BOOK</t>
        </is>
      </c>
      <c r="BB275" t="inlineStr">
        <is>
          <t>9780877932635</t>
        </is>
      </c>
      <c r="BC275" t="inlineStr">
        <is>
          <t>32285000837384</t>
        </is>
      </c>
      <c r="BD275" t="inlineStr">
        <is>
          <t>893777718</t>
        </is>
      </c>
    </row>
    <row r="276">
      <c r="A276" t="inlineStr">
        <is>
          <t>No</t>
        </is>
      </c>
      <c r="B276" t="inlineStr">
        <is>
          <t>BV230 .M3 1984</t>
        </is>
      </c>
      <c r="C276" t="inlineStr">
        <is>
          <t>0                      BV 0230000M  3           1984</t>
        </is>
      </c>
      <c r="D276" t="inlineStr">
        <is>
          <t>Can we still call God "Father"? : a woman looks at the Lord's Prayer today / by Céline Mangan.</t>
        </is>
      </c>
      <c r="F276" t="inlineStr">
        <is>
          <t>No</t>
        </is>
      </c>
      <c r="G276" t="inlineStr">
        <is>
          <t>1</t>
        </is>
      </c>
      <c r="H276" t="inlineStr">
        <is>
          <t>No</t>
        </is>
      </c>
      <c r="I276" t="inlineStr">
        <is>
          <t>No</t>
        </is>
      </c>
      <c r="J276" t="inlineStr">
        <is>
          <t>0</t>
        </is>
      </c>
      <c r="K276" t="inlineStr">
        <is>
          <t>Mangan, Céline.</t>
        </is>
      </c>
      <c r="L276" t="inlineStr">
        <is>
          <t>Wilmington, Del. : Michael Glazier, 1984.</t>
        </is>
      </c>
      <c r="M276" t="inlineStr">
        <is>
          <t>1984</t>
        </is>
      </c>
      <c r="O276" t="inlineStr">
        <is>
          <t>eng</t>
        </is>
      </c>
      <c r="P276" t="inlineStr">
        <is>
          <t>deu</t>
        </is>
      </c>
      <c r="Q276" t="inlineStr">
        <is>
          <t>Ways of prayer series ; v. 12</t>
        </is>
      </c>
      <c r="R276" t="inlineStr">
        <is>
          <t xml:space="preserve">BV </t>
        </is>
      </c>
      <c r="S276" t="n">
        <v>5</v>
      </c>
      <c r="T276" t="n">
        <v>5</v>
      </c>
      <c r="U276" t="inlineStr">
        <is>
          <t>1995-04-22</t>
        </is>
      </c>
      <c r="V276" t="inlineStr">
        <is>
          <t>1995-04-22</t>
        </is>
      </c>
      <c r="W276" t="inlineStr">
        <is>
          <t>1991-12-05</t>
        </is>
      </c>
      <c r="X276" t="inlineStr">
        <is>
          <t>1991-12-05</t>
        </is>
      </c>
      <c r="Y276" t="n">
        <v>110</v>
      </c>
      <c r="Z276" t="n">
        <v>94</v>
      </c>
      <c r="AA276" t="n">
        <v>99</v>
      </c>
      <c r="AB276" t="n">
        <v>1</v>
      </c>
      <c r="AC276" t="n">
        <v>1</v>
      </c>
      <c r="AD276" t="n">
        <v>8</v>
      </c>
      <c r="AE276" t="n">
        <v>8</v>
      </c>
      <c r="AF276" t="n">
        <v>1</v>
      </c>
      <c r="AG276" t="n">
        <v>1</v>
      </c>
      <c r="AH276" t="n">
        <v>3</v>
      </c>
      <c r="AI276" t="n">
        <v>3</v>
      </c>
      <c r="AJ276" t="n">
        <v>6</v>
      </c>
      <c r="AK276" t="n">
        <v>6</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HYPERLINK("https://creighton-primo.hosted.exlibrisgroup.com/primo-explore/search?tab=default_tab&amp;search_scope=EVERYTHING&amp;vid=01CRU&amp;lang=en_US&amp;offset=0&amp;query=any,contains,991000477819702656","Catalog Record")</f>
        <v/>
      </c>
      <c r="AT276">
        <f>HYPERLINK("http://www.worldcat.org/oclc/11040681","WorldCat Record")</f>
        <v/>
      </c>
      <c r="AU276" t="inlineStr">
        <is>
          <t>429213535:eng</t>
        </is>
      </c>
      <c r="AV276" t="inlineStr">
        <is>
          <t>11040681</t>
        </is>
      </c>
      <c r="AW276" t="inlineStr">
        <is>
          <t>991000477819702656</t>
        </is>
      </c>
      <c r="AX276" t="inlineStr">
        <is>
          <t>991000477819702656</t>
        </is>
      </c>
      <c r="AY276" t="inlineStr">
        <is>
          <t>2258172450002656</t>
        </is>
      </c>
      <c r="AZ276" t="inlineStr">
        <is>
          <t>BOOK</t>
        </is>
      </c>
      <c r="BC276" t="inlineStr">
        <is>
          <t>32285000837392</t>
        </is>
      </c>
      <c r="BD276" t="inlineStr">
        <is>
          <t>893444334</t>
        </is>
      </c>
    </row>
    <row r="277">
      <c r="A277" t="inlineStr">
        <is>
          <t>No</t>
        </is>
      </c>
      <c r="B277" t="inlineStr">
        <is>
          <t>BV230 .T42</t>
        </is>
      </c>
      <c r="C277" t="inlineStr">
        <is>
          <t>0                      BV 0230000T  42</t>
        </is>
      </c>
      <c r="D277" t="inlineStr">
        <is>
          <t>The Pater Noster of Saint Teresa, a commentary on the Lord's prayer, by Saint Teresa of Avila, translated and adapted by William J. Doheny. With a preface by the Most Rev. Moses E. Kiley.</t>
        </is>
      </c>
      <c r="F277" t="inlineStr">
        <is>
          <t>No</t>
        </is>
      </c>
      <c r="G277" t="inlineStr">
        <is>
          <t>1</t>
        </is>
      </c>
      <c r="H277" t="inlineStr">
        <is>
          <t>No</t>
        </is>
      </c>
      <c r="I277" t="inlineStr">
        <is>
          <t>No</t>
        </is>
      </c>
      <c r="J277" t="inlineStr">
        <is>
          <t>0</t>
        </is>
      </c>
      <c r="K277" t="inlineStr">
        <is>
          <t>Teresa, of Avila, Saint, 1515-1582.</t>
        </is>
      </c>
      <c r="L277" t="inlineStr">
        <is>
          <t>Milwaukee, The Bruce publishing company [c1942]</t>
        </is>
      </c>
      <c r="M277" t="inlineStr">
        <is>
          <t>1942</t>
        </is>
      </c>
      <c r="O277" t="inlineStr">
        <is>
          <t>eng</t>
        </is>
      </c>
      <c r="P277" t="inlineStr">
        <is>
          <t>wiu</t>
        </is>
      </c>
      <c r="R277" t="inlineStr">
        <is>
          <t xml:space="preserve">BV </t>
        </is>
      </c>
      <c r="S277" t="n">
        <v>1</v>
      </c>
      <c r="T277" t="n">
        <v>1</v>
      </c>
      <c r="U277" t="inlineStr">
        <is>
          <t>2003-07-09</t>
        </is>
      </c>
      <c r="V277" t="inlineStr">
        <is>
          <t>2003-07-09</t>
        </is>
      </c>
      <c r="W277" t="inlineStr">
        <is>
          <t>1991-12-05</t>
        </is>
      </c>
      <c r="X277" t="inlineStr">
        <is>
          <t>1991-12-05</t>
        </is>
      </c>
      <c r="Y277" t="n">
        <v>151</v>
      </c>
      <c r="Z277" t="n">
        <v>132</v>
      </c>
      <c r="AA277" t="n">
        <v>134</v>
      </c>
      <c r="AB277" t="n">
        <v>3</v>
      </c>
      <c r="AC277" t="n">
        <v>3</v>
      </c>
      <c r="AD277" t="n">
        <v>23</v>
      </c>
      <c r="AE277" t="n">
        <v>23</v>
      </c>
      <c r="AF277" t="n">
        <v>5</v>
      </c>
      <c r="AG277" t="n">
        <v>5</v>
      </c>
      <c r="AH277" t="n">
        <v>6</v>
      </c>
      <c r="AI277" t="n">
        <v>6</v>
      </c>
      <c r="AJ277" t="n">
        <v>16</v>
      </c>
      <c r="AK277" t="n">
        <v>16</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HYPERLINK("https://creighton-primo.hosted.exlibrisgroup.com/primo-explore/search?tab=default_tab&amp;search_scope=EVERYTHING&amp;vid=01CRU&amp;lang=en_US&amp;offset=0&amp;query=any,contains,991004405049702656","Catalog Record")</f>
        <v/>
      </c>
      <c r="AT277">
        <f>HYPERLINK("http://www.worldcat.org/oclc/3318045","WorldCat Record")</f>
        <v/>
      </c>
      <c r="AU277" t="inlineStr">
        <is>
          <t>8908330559:eng</t>
        </is>
      </c>
      <c r="AV277" t="inlineStr">
        <is>
          <t>3318045</t>
        </is>
      </c>
      <c r="AW277" t="inlineStr">
        <is>
          <t>991004405049702656</t>
        </is>
      </c>
      <c r="AX277" t="inlineStr">
        <is>
          <t>991004405049702656</t>
        </is>
      </c>
      <c r="AY277" t="inlineStr">
        <is>
          <t>2268073930002656</t>
        </is>
      </c>
      <c r="AZ277" t="inlineStr">
        <is>
          <t>BOOK</t>
        </is>
      </c>
      <c r="BC277" t="inlineStr">
        <is>
          <t>32285000837426</t>
        </is>
      </c>
      <c r="BD277" t="inlineStr">
        <is>
          <t>893337690</t>
        </is>
      </c>
    </row>
    <row r="278">
      <c r="A278" t="inlineStr">
        <is>
          <t>No</t>
        </is>
      </c>
      <c r="B278" t="inlineStr">
        <is>
          <t>BV230 .T6 1943</t>
        </is>
      </c>
      <c r="C278" t="inlineStr">
        <is>
          <t>0                      BV 0230000T  6           1943</t>
        </is>
      </c>
      <c r="D278" t="inlineStr">
        <is>
          <t>The Our Father : a course of sermons / by Most Rev. Tihamer Toth, translated by V. G. Agotai, edited by Rev. Newton Thompson, s.t.d.</t>
        </is>
      </c>
      <c r="F278" t="inlineStr">
        <is>
          <t>No</t>
        </is>
      </c>
      <c r="G278" t="inlineStr">
        <is>
          <t>1</t>
        </is>
      </c>
      <c r="H278" t="inlineStr">
        <is>
          <t>No</t>
        </is>
      </c>
      <c r="I278" t="inlineStr">
        <is>
          <t>No</t>
        </is>
      </c>
      <c r="J278" t="inlineStr">
        <is>
          <t>0</t>
        </is>
      </c>
      <c r="K278" t="inlineStr">
        <is>
          <t>Tóth, Tihamér, 1889-1939.</t>
        </is>
      </c>
      <c r="L278" t="inlineStr">
        <is>
          <t>St. Louis, Mo. ; London : B. Herder book co., 1943.</t>
        </is>
      </c>
      <c r="M278" t="inlineStr">
        <is>
          <t>1943</t>
        </is>
      </c>
      <c r="O278" t="inlineStr">
        <is>
          <t>eng</t>
        </is>
      </c>
      <c r="P278" t="inlineStr">
        <is>
          <t>mou</t>
        </is>
      </c>
      <c r="R278" t="inlineStr">
        <is>
          <t xml:space="preserve">BV </t>
        </is>
      </c>
      <c r="S278" t="n">
        <v>1</v>
      </c>
      <c r="T278" t="n">
        <v>1</v>
      </c>
      <c r="U278" t="inlineStr">
        <is>
          <t>1996-02-22</t>
        </is>
      </c>
      <c r="V278" t="inlineStr">
        <is>
          <t>1996-02-22</t>
        </is>
      </c>
      <c r="W278" t="inlineStr">
        <is>
          <t>1991-12-05</t>
        </is>
      </c>
      <c r="X278" t="inlineStr">
        <is>
          <t>1991-12-05</t>
        </is>
      </c>
      <c r="Y278" t="n">
        <v>98</v>
      </c>
      <c r="Z278" t="n">
        <v>83</v>
      </c>
      <c r="AA278" t="n">
        <v>87</v>
      </c>
      <c r="AB278" t="n">
        <v>2</v>
      </c>
      <c r="AC278" t="n">
        <v>2</v>
      </c>
      <c r="AD278" t="n">
        <v>13</v>
      </c>
      <c r="AE278" t="n">
        <v>13</v>
      </c>
      <c r="AF278" t="n">
        <v>1</v>
      </c>
      <c r="AG278" t="n">
        <v>1</v>
      </c>
      <c r="AH278" t="n">
        <v>4</v>
      </c>
      <c r="AI278" t="n">
        <v>4</v>
      </c>
      <c r="AJ278" t="n">
        <v>10</v>
      </c>
      <c r="AK278" t="n">
        <v>10</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HYPERLINK("https://creighton-primo.hosted.exlibrisgroup.com/primo-explore/search?tab=default_tab&amp;search_scope=EVERYTHING&amp;vid=01CRU&amp;lang=en_US&amp;offset=0&amp;query=any,contains,991004227069702656","Catalog Record")</f>
        <v/>
      </c>
      <c r="AT278">
        <f>HYPERLINK("http://www.worldcat.org/oclc/2734844","WorldCat Record")</f>
        <v/>
      </c>
      <c r="AU278" t="inlineStr">
        <is>
          <t>6130598:eng</t>
        </is>
      </c>
      <c r="AV278" t="inlineStr">
        <is>
          <t>2734844</t>
        </is>
      </c>
      <c r="AW278" t="inlineStr">
        <is>
          <t>991004227069702656</t>
        </is>
      </c>
      <c r="AX278" t="inlineStr">
        <is>
          <t>991004227069702656</t>
        </is>
      </c>
      <c r="AY278" t="inlineStr">
        <is>
          <t>2256664430002656</t>
        </is>
      </c>
      <c r="AZ278" t="inlineStr">
        <is>
          <t>BOOK</t>
        </is>
      </c>
      <c r="BC278" t="inlineStr">
        <is>
          <t>32285000837442</t>
        </is>
      </c>
      <c r="BD278" t="inlineStr">
        <is>
          <t>893599584</t>
        </is>
      </c>
    </row>
    <row r="279">
      <c r="A279" t="inlineStr">
        <is>
          <t>No</t>
        </is>
      </c>
      <c r="B279" t="inlineStr">
        <is>
          <t>BV230 .V455 1955</t>
        </is>
      </c>
      <c r="C279" t="inlineStr">
        <is>
          <t>0                      BV 0230000V  455         1955</t>
        </is>
      </c>
      <c r="D279" t="inlineStr">
        <is>
          <t>The Our Father / by Leon Veuthey ; translated by James Meyer.</t>
        </is>
      </c>
      <c r="F279" t="inlineStr">
        <is>
          <t>No</t>
        </is>
      </c>
      <c r="G279" t="inlineStr">
        <is>
          <t>1</t>
        </is>
      </c>
      <c r="H279" t="inlineStr">
        <is>
          <t>No</t>
        </is>
      </c>
      <c r="I279" t="inlineStr">
        <is>
          <t>No</t>
        </is>
      </c>
      <c r="J279" t="inlineStr">
        <is>
          <t>0</t>
        </is>
      </c>
      <c r="K279" t="inlineStr">
        <is>
          <t>Veuthey, Léon, 1896-1974.</t>
        </is>
      </c>
      <c r="L279" t="inlineStr">
        <is>
          <t>Chicago : Franciscan Herald Press, [1955]</t>
        </is>
      </c>
      <c r="M279" t="inlineStr">
        <is>
          <t>1955</t>
        </is>
      </c>
      <c r="O279" t="inlineStr">
        <is>
          <t>eng</t>
        </is>
      </c>
      <c r="P279" t="inlineStr">
        <is>
          <t>ilu</t>
        </is>
      </c>
      <c r="Q279" t="inlineStr">
        <is>
          <t>Franciscan spirituality, no. 2</t>
        </is>
      </c>
      <c r="R279" t="inlineStr">
        <is>
          <t xml:space="preserve">BV </t>
        </is>
      </c>
      <c r="S279" t="n">
        <v>5</v>
      </c>
      <c r="T279" t="n">
        <v>5</v>
      </c>
      <c r="U279" t="inlineStr">
        <is>
          <t>2000-10-08</t>
        </is>
      </c>
      <c r="V279" t="inlineStr">
        <is>
          <t>2000-10-08</t>
        </is>
      </c>
      <c r="W279" t="inlineStr">
        <is>
          <t>1991-12-05</t>
        </is>
      </c>
      <c r="X279" t="inlineStr">
        <is>
          <t>1991-12-05</t>
        </is>
      </c>
      <c r="Y279" t="n">
        <v>32</v>
      </c>
      <c r="Z279" t="n">
        <v>32</v>
      </c>
      <c r="AA279" t="n">
        <v>32</v>
      </c>
      <c r="AB279" t="n">
        <v>1</v>
      </c>
      <c r="AC279" t="n">
        <v>1</v>
      </c>
      <c r="AD279" t="n">
        <v>4</v>
      </c>
      <c r="AE279" t="n">
        <v>4</v>
      </c>
      <c r="AF279" t="n">
        <v>1</v>
      </c>
      <c r="AG279" t="n">
        <v>1</v>
      </c>
      <c r="AH279" t="n">
        <v>1</v>
      </c>
      <c r="AI279" t="n">
        <v>1</v>
      </c>
      <c r="AJ279" t="n">
        <v>3</v>
      </c>
      <c r="AK279" t="n">
        <v>3</v>
      </c>
      <c r="AL279" t="n">
        <v>0</v>
      </c>
      <c r="AM279" t="n">
        <v>0</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HYPERLINK("https://creighton-primo.hosted.exlibrisgroup.com/primo-explore/search?tab=default_tab&amp;search_scope=EVERYTHING&amp;vid=01CRU&amp;lang=en_US&amp;offset=0&amp;query=any,contains,991004602379702656","Catalog Record")</f>
        <v/>
      </c>
      <c r="AT279">
        <f>HYPERLINK("http://www.worldcat.org/oclc/4181446","WorldCat Record")</f>
        <v/>
      </c>
      <c r="AU279" t="inlineStr">
        <is>
          <t>27898490:eng</t>
        </is>
      </c>
      <c r="AV279" t="inlineStr">
        <is>
          <t>4181446</t>
        </is>
      </c>
      <c r="AW279" t="inlineStr">
        <is>
          <t>991004602379702656</t>
        </is>
      </c>
      <c r="AX279" t="inlineStr">
        <is>
          <t>991004602379702656</t>
        </is>
      </c>
      <c r="AY279" t="inlineStr">
        <is>
          <t>2267911040002656</t>
        </is>
      </c>
      <c r="AZ279" t="inlineStr">
        <is>
          <t>BOOK</t>
        </is>
      </c>
      <c r="BC279" t="inlineStr">
        <is>
          <t>32285000837467</t>
        </is>
      </c>
      <c r="BD279" t="inlineStr">
        <is>
          <t>893795031</t>
        </is>
      </c>
    </row>
    <row r="280">
      <c r="A280" t="inlineStr">
        <is>
          <t>No</t>
        </is>
      </c>
      <c r="B280" t="inlineStr">
        <is>
          <t>BV2300.S53 W55 1999</t>
        </is>
      </c>
      <c r="C280" t="inlineStr">
        <is>
          <t>0                      BV 2300000S  53                 W  55          1999</t>
        </is>
      </c>
      <c r="D280" t="inlineStr">
        <is>
          <t>The singer &amp; the song : an autobiography of the spirit / Miriam Therese Winter.</t>
        </is>
      </c>
      <c r="F280" t="inlineStr">
        <is>
          <t>No</t>
        </is>
      </c>
      <c r="G280" t="inlineStr">
        <is>
          <t>1</t>
        </is>
      </c>
      <c r="H280" t="inlineStr">
        <is>
          <t>No</t>
        </is>
      </c>
      <c r="I280" t="inlineStr">
        <is>
          <t>No</t>
        </is>
      </c>
      <c r="J280" t="inlineStr">
        <is>
          <t>0</t>
        </is>
      </c>
      <c r="K280" t="inlineStr">
        <is>
          <t>Winter, Miriam Therese.</t>
        </is>
      </c>
      <c r="L280" t="inlineStr">
        <is>
          <t>Maryknoll, N.Y. : Orbis Books, c1999.</t>
        </is>
      </c>
      <c r="M280" t="inlineStr">
        <is>
          <t>1999</t>
        </is>
      </c>
      <c r="O280" t="inlineStr">
        <is>
          <t>eng</t>
        </is>
      </c>
      <c r="P280" t="inlineStr">
        <is>
          <t>nyu</t>
        </is>
      </c>
      <c r="R280" t="inlineStr">
        <is>
          <t xml:space="preserve">BV </t>
        </is>
      </c>
      <c r="S280" t="n">
        <v>2</v>
      </c>
      <c r="T280" t="n">
        <v>2</v>
      </c>
      <c r="U280" t="inlineStr">
        <is>
          <t>2000-06-27</t>
        </is>
      </c>
      <c r="V280" t="inlineStr">
        <is>
          <t>2000-06-27</t>
        </is>
      </c>
      <c r="W280" t="inlineStr">
        <is>
          <t>1999-09-29</t>
        </is>
      </c>
      <c r="X280" t="inlineStr">
        <is>
          <t>1999-09-29</t>
        </is>
      </c>
      <c r="Y280" t="n">
        <v>153</v>
      </c>
      <c r="Z280" t="n">
        <v>141</v>
      </c>
      <c r="AA280" t="n">
        <v>155</v>
      </c>
      <c r="AB280" t="n">
        <v>3</v>
      </c>
      <c r="AC280" t="n">
        <v>3</v>
      </c>
      <c r="AD280" t="n">
        <v>10</v>
      </c>
      <c r="AE280" t="n">
        <v>10</v>
      </c>
      <c r="AF280" t="n">
        <v>3</v>
      </c>
      <c r="AG280" t="n">
        <v>3</v>
      </c>
      <c r="AH280" t="n">
        <v>2</v>
      </c>
      <c r="AI280" t="n">
        <v>2</v>
      </c>
      <c r="AJ280" t="n">
        <v>5</v>
      </c>
      <c r="AK280" t="n">
        <v>5</v>
      </c>
      <c r="AL280" t="n">
        <v>1</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HYPERLINK("https://creighton-primo.hosted.exlibrisgroup.com/primo-explore/search?tab=default_tab&amp;search_scope=EVERYTHING&amp;vid=01CRU&amp;lang=en_US&amp;offset=0&amp;query=any,contains,991005430269702656","Catalog Record")</f>
        <v/>
      </c>
      <c r="AT280">
        <f>HYPERLINK("http://www.worldcat.org/oclc/41156536","WorldCat Record")</f>
        <v/>
      </c>
      <c r="AU280" t="inlineStr">
        <is>
          <t>4132963578:eng</t>
        </is>
      </c>
      <c r="AV280" t="inlineStr">
        <is>
          <t>41156536</t>
        </is>
      </c>
      <c r="AW280" t="inlineStr">
        <is>
          <t>991005430269702656</t>
        </is>
      </c>
      <c r="AX280" t="inlineStr">
        <is>
          <t>991005430269702656</t>
        </is>
      </c>
      <c r="AY280" t="inlineStr">
        <is>
          <t>2261577570002656</t>
        </is>
      </c>
      <c r="AZ280" t="inlineStr">
        <is>
          <t>BOOK</t>
        </is>
      </c>
      <c r="BB280" t="inlineStr">
        <is>
          <t>9781570752797</t>
        </is>
      </c>
      <c r="BC280" t="inlineStr">
        <is>
          <t>32285003591673</t>
        </is>
      </c>
      <c r="BD280" t="inlineStr">
        <is>
          <t>893502024</t>
        </is>
      </c>
    </row>
    <row r="281">
      <c r="A281" t="inlineStr">
        <is>
          <t>No</t>
        </is>
      </c>
      <c r="B281" t="inlineStr">
        <is>
          <t>BV2300.W5 K5 1957</t>
        </is>
      </c>
      <c r="C281" t="inlineStr">
        <is>
          <t>0                      BV 2300000W  5                  K  5           1957</t>
        </is>
      </c>
      <c r="D281" t="inlineStr">
        <is>
          <t>The White Fathers / Introd. by Bishop Laurian Rugambwa.</t>
        </is>
      </c>
      <c r="F281" t="inlineStr">
        <is>
          <t>No</t>
        </is>
      </c>
      <c r="G281" t="inlineStr">
        <is>
          <t>1</t>
        </is>
      </c>
      <c r="H281" t="inlineStr">
        <is>
          <t>No</t>
        </is>
      </c>
      <c r="I281" t="inlineStr">
        <is>
          <t>No</t>
        </is>
      </c>
      <c r="J281" t="inlineStr">
        <is>
          <t>0</t>
        </is>
      </c>
      <c r="K281" t="inlineStr">
        <is>
          <t>Kittler, Glenn D.</t>
        </is>
      </c>
      <c r="L281" t="inlineStr">
        <is>
          <t>New York : Harper, [1957]</t>
        </is>
      </c>
      <c r="M281" t="inlineStr">
        <is>
          <t>1957</t>
        </is>
      </c>
      <c r="N281" t="inlineStr">
        <is>
          <t>[1st ed.]</t>
        </is>
      </c>
      <c r="O281" t="inlineStr">
        <is>
          <t>eng</t>
        </is>
      </c>
      <c r="P281" t="inlineStr">
        <is>
          <t>nyu</t>
        </is>
      </c>
      <c r="R281" t="inlineStr">
        <is>
          <t xml:space="preserve">BV </t>
        </is>
      </c>
      <c r="S281" t="n">
        <v>3</v>
      </c>
      <c r="T281" t="n">
        <v>3</v>
      </c>
      <c r="U281" t="inlineStr">
        <is>
          <t>2005-04-19</t>
        </is>
      </c>
      <c r="V281" t="inlineStr">
        <is>
          <t>2005-04-19</t>
        </is>
      </c>
      <c r="W281" t="inlineStr">
        <is>
          <t>1992-02-06</t>
        </is>
      </c>
      <c r="X281" t="inlineStr">
        <is>
          <t>1992-02-06</t>
        </is>
      </c>
      <c r="Y281" t="n">
        <v>263</v>
      </c>
      <c r="Z281" t="n">
        <v>242</v>
      </c>
      <c r="AA281" t="n">
        <v>397</v>
      </c>
      <c r="AB281" t="n">
        <v>2</v>
      </c>
      <c r="AC281" t="n">
        <v>3</v>
      </c>
      <c r="AD281" t="n">
        <v>24</v>
      </c>
      <c r="AE281" t="n">
        <v>29</v>
      </c>
      <c r="AF281" t="n">
        <v>8</v>
      </c>
      <c r="AG281" t="n">
        <v>11</v>
      </c>
      <c r="AH281" t="n">
        <v>5</v>
      </c>
      <c r="AI281" t="n">
        <v>5</v>
      </c>
      <c r="AJ281" t="n">
        <v>19</v>
      </c>
      <c r="AK281" t="n">
        <v>22</v>
      </c>
      <c r="AL281" t="n">
        <v>0</v>
      </c>
      <c r="AM281" t="n">
        <v>0</v>
      </c>
      <c r="AN281" t="n">
        <v>0</v>
      </c>
      <c r="AO281" t="n">
        <v>0</v>
      </c>
      <c r="AP281" t="inlineStr">
        <is>
          <t>No</t>
        </is>
      </c>
      <c r="AQ281" t="inlineStr">
        <is>
          <t>Yes</t>
        </is>
      </c>
      <c r="AR281">
        <f>HYPERLINK("http://catalog.hathitrust.org/Record/006633717","HathiTrust Record")</f>
        <v/>
      </c>
      <c r="AS281">
        <f>HYPERLINK("https://creighton-primo.hosted.exlibrisgroup.com/primo-explore/search?tab=default_tab&amp;search_scope=EVERYTHING&amp;vid=01CRU&amp;lang=en_US&amp;offset=0&amp;query=any,contains,991003251279702656","Catalog Record")</f>
        <v/>
      </c>
      <c r="AT281">
        <f>HYPERLINK("http://www.worldcat.org/oclc/776112","WorldCat Record")</f>
        <v/>
      </c>
      <c r="AU281" t="inlineStr">
        <is>
          <t>1689690:eng</t>
        </is>
      </c>
      <c r="AV281" t="inlineStr">
        <is>
          <t>776112</t>
        </is>
      </c>
      <c r="AW281" t="inlineStr">
        <is>
          <t>991003251279702656</t>
        </is>
      </c>
      <c r="AX281" t="inlineStr">
        <is>
          <t>991003251279702656</t>
        </is>
      </c>
      <c r="AY281" t="inlineStr">
        <is>
          <t>2268490680002656</t>
        </is>
      </c>
      <c r="AZ281" t="inlineStr">
        <is>
          <t>BOOK</t>
        </is>
      </c>
      <c r="BC281" t="inlineStr">
        <is>
          <t>32285000928084</t>
        </is>
      </c>
      <c r="BD281" t="inlineStr">
        <is>
          <t>893623306</t>
        </is>
      </c>
    </row>
    <row r="282">
      <c r="A282" t="inlineStr">
        <is>
          <t>No</t>
        </is>
      </c>
      <c r="B282" t="inlineStr">
        <is>
          <t>BV234 .S8</t>
        </is>
      </c>
      <c r="C282" t="inlineStr">
        <is>
          <t>0                      BV 0234000S  8</t>
        </is>
      </c>
      <c r="D282" t="inlineStr">
        <is>
          <t>Jesus in Gethsemane / David M. Stanley.</t>
        </is>
      </c>
      <c r="F282" t="inlineStr">
        <is>
          <t>No</t>
        </is>
      </c>
      <c r="G282" t="inlineStr">
        <is>
          <t>1</t>
        </is>
      </c>
      <c r="H282" t="inlineStr">
        <is>
          <t>No</t>
        </is>
      </c>
      <c r="I282" t="inlineStr">
        <is>
          <t>No</t>
        </is>
      </c>
      <c r="J282" t="inlineStr">
        <is>
          <t>0</t>
        </is>
      </c>
      <c r="K282" t="inlineStr">
        <is>
          <t>Stanley, David Michael, 1914-</t>
        </is>
      </c>
      <c r="L282" t="inlineStr">
        <is>
          <t>New York : Paulist Press, c1980.</t>
        </is>
      </c>
      <c r="M282" t="inlineStr">
        <is>
          <t>1980</t>
        </is>
      </c>
      <c r="O282" t="inlineStr">
        <is>
          <t>eng</t>
        </is>
      </c>
      <c r="P282" t="inlineStr">
        <is>
          <t>nyu</t>
        </is>
      </c>
      <c r="Q282" t="inlineStr">
        <is>
          <t>An Exploration book</t>
        </is>
      </c>
      <c r="R282" t="inlineStr">
        <is>
          <t xml:space="preserve">BV </t>
        </is>
      </c>
      <c r="S282" t="n">
        <v>3</v>
      </c>
      <c r="T282" t="n">
        <v>3</v>
      </c>
      <c r="U282" t="inlineStr">
        <is>
          <t>2001-03-02</t>
        </is>
      </c>
      <c r="V282" t="inlineStr">
        <is>
          <t>2001-03-02</t>
        </is>
      </c>
      <c r="W282" t="inlineStr">
        <is>
          <t>1991-12-05</t>
        </is>
      </c>
      <c r="X282" t="inlineStr">
        <is>
          <t>1991-12-05</t>
        </is>
      </c>
      <c r="Y282" t="n">
        <v>297</v>
      </c>
      <c r="Z282" t="n">
        <v>252</v>
      </c>
      <c r="AA282" t="n">
        <v>252</v>
      </c>
      <c r="AB282" t="n">
        <v>2</v>
      </c>
      <c r="AC282" t="n">
        <v>2</v>
      </c>
      <c r="AD282" t="n">
        <v>32</v>
      </c>
      <c r="AE282" t="n">
        <v>32</v>
      </c>
      <c r="AF282" t="n">
        <v>12</v>
      </c>
      <c r="AG282" t="n">
        <v>12</v>
      </c>
      <c r="AH282" t="n">
        <v>8</v>
      </c>
      <c r="AI282" t="n">
        <v>8</v>
      </c>
      <c r="AJ282" t="n">
        <v>23</v>
      </c>
      <c r="AK282" t="n">
        <v>23</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HYPERLINK("https://creighton-primo.hosted.exlibrisgroup.com/primo-explore/search?tab=default_tab&amp;search_scope=EVERYTHING&amp;vid=01CRU&amp;lang=en_US&amp;offset=0&amp;query=any,contains,991005030409702656","Catalog Record")</f>
        <v/>
      </c>
      <c r="AT282">
        <f>HYPERLINK("http://www.worldcat.org/oclc/6709377","WorldCat Record")</f>
        <v/>
      </c>
      <c r="AU282" t="inlineStr">
        <is>
          <t>23733995:eng</t>
        </is>
      </c>
      <c r="AV282" t="inlineStr">
        <is>
          <t>6709377</t>
        </is>
      </c>
      <c r="AW282" t="inlineStr">
        <is>
          <t>991005030409702656</t>
        </is>
      </c>
      <c r="AX282" t="inlineStr">
        <is>
          <t>991005030409702656</t>
        </is>
      </c>
      <c r="AY282" t="inlineStr">
        <is>
          <t>2256627380002656</t>
        </is>
      </c>
      <c r="AZ282" t="inlineStr">
        <is>
          <t>BOOK</t>
        </is>
      </c>
      <c r="BB282" t="inlineStr">
        <is>
          <t>9780809122851</t>
        </is>
      </c>
      <c r="BC282" t="inlineStr">
        <is>
          <t>32285000837475</t>
        </is>
      </c>
      <c r="BD282" t="inlineStr">
        <is>
          <t>893713340</t>
        </is>
      </c>
    </row>
    <row r="283">
      <c r="A283" t="inlineStr">
        <is>
          <t>No</t>
        </is>
      </c>
      <c r="B283" t="inlineStr">
        <is>
          <t>BV236 .M33 1988</t>
        </is>
      </c>
      <c r="C283" t="inlineStr">
        <is>
          <t>0                      BV 0236000M  33          1988</t>
        </is>
      </c>
      <c r="D283" t="inlineStr">
        <is>
          <t>The Macmillan book of earliest Christian prayers / edited by F. Forrester Church and Terrence J. Mulry.</t>
        </is>
      </c>
      <c r="F283" t="inlineStr">
        <is>
          <t>No</t>
        </is>
      </c>
      <c r="G283" t="inlineStr">
        <is>
          <t>1</t>
        </is>
      </c>
      <c r="H283" t="inlineStr">
        <is>
          <t>No</t>
        </is>
      </c>
      <c r="I283" t="inlineStr">
        <is>
          <t>No</t>
        </is>
      </c>
      <c r="J283" t="inlineStr">
        <is>
          <t>0</t>
        </is>
      </c>
      <c r="L283" t="inlineStr">
        <is>
          <t>New York : Macmillan ; London : Collier Macmillan, c1988.</t>
        </is>
      </c>
      <c r="M283" t="inlineStr">
        <is>
          <t>1988</t>
        </is>
      </c>
      <c r="O283" t="inlineStr">
        <is>
          <t>eng</t>
        </is>
      </c>
      <c r="P283" t="inlineStr">
        <is>
          <t>nyu</t>
        </is>
      </c>
      <c r="R283" t="inlineStr">
        <is>
          <t xml:space="preserve">BV </t>
        </is>
      </c>
      <c r="S283" t="n">
        <v>3</v>
      </c>
      <c r="T283" t="n">
        <v>3</v>
      </c>
      <c r="U283" t="inlineStr">
        <is>
          <t>1993-07-17</t>
        </is>
      </c>
      <c r="V283" t="inlineStr">
        <is>
          <t>1993-07-17</t>
        </is>
      </c>
      <c r="W283" t="inlineStr">
        <is>
          <t>1991-12-05</t>
        </is>
      </c>
      <c r="X283" t="inlineStr">
        <is>
          <t>1991-12-05</t>
        </is>
      </c>
      <c r="Y283" t="n">
        <v>294</v>
      </c>
      <c r="Z283" t="n">
        <v>265</v>
      </c>
      <c r="AA283" t="n">
        <v>320</v>
      </c>
      <c r="AB283" t="n">
        <v>1</v>
      </c>
      <c r="AC283" t="n">
        <v>1</v>
      </c>
      <c r="AD283" t="n">
        <v>8</v>
      </c>
      <c r="AE283" t="n">
        <v>13</v>
      </c>
      <c r="AF283" t="n">
        <v>2</v>
      </c>
      <c r="AG283" t="n">
        <v>4</v>
      </c>
      <c r="AH283" t="n">
        <v>3</v>
      </c>
      <c r="AI283" t="n">
        <v>3</v>
      </c>
      <c r="AJ283" t="n">
        <v>6</v>
      </c>
      <c r="AK283" t="n">
        <v>9</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HYPERLINK("https://creighton-primo.hosted.exlibrisgroup.com/primo-explore/search?tab=default_tab&amp;search_scope=EVERYTHING&amp;vid=01CRU&amp;lang=en_US&amp;offset=0&amp;query=any,contains,991001162799702656","Catalog Record")</f>
        <v/>
      </c>
      <c r="AT283">
        <f>HYPERLINK("http://www.worldcat.org/oclc/16901310","WorldCat Record")</f>
        <v/>
      </c>
      <c r="AU283" t="inlineStr">
        <is>
          <t>430762184:eng</t>
        </is>
      </c>
      <c r="AV283" t="inlineStr">
        <is>
          <t>16901310</t>
        </is>
      </c>
      <c r="AW283" t="inlineStr">
        <is>
          <t>991001162799702656</t>
        </is>
      </c>
      <c r="AX283" t="inlineStr">
        <is>
          <t>991001162799702656</t>
        </is>
      </c>
      <c r="AY283" t="inlineStr">
        <is>
          <t>2268464190002656</t>
        </is>
      </c>
      <c r="AZ283" t="inlineStr">
        <is>
          <t>BOOK</t>
        </is>
      </c>
      <c r="BB283" t="inlineStr">
        <is>
          <t>9780025255708</t>
        </is>
      </c>
      <c r="BC283" t="inlineStr">
        <is>
          <t>32285000837509</t>
        </is>
      </c>
      <c r="BD283" t="inlineStr">
        <is>
          <t>893340202</t>
        </is>
      </c>
    </row>
    <row r="284">
      <c r="A284" t="inlineStr">
        <is>
          <t>No</t>
        </is>
      </c>
      <c r="B284" t="inlineStr">
        <is>
          <t>BV245 .B32 1982</t>
        </is>
      </c>
      <c r="C284" t="inlineStr">
        <is>
          <t>0                      BV 0245000B  32          1982</t>
        </is>
      </c>
      <c r="D284" t="inlineStr">
        <is>
          <t>Everyday prayers / William Barclay.</t>
        </is>
      </c>
      <c r="F284" t="inlineStr">
        <is>
          <t>No</t>
        </is>
      </c>
      <c r="G284" t="inlineStr">
        <is>
          <t>1</t>
        </is>
      </c>
      <c r="H284" t="inlineStr">
        <is>
          <t>No</t>
        </is>
      </c>
      <c r="I284" t="inlineStr">
        <is>
          <t>Yes</t>
        </is>
      </c>
      <c r="J284" t="inlineStr">
        <is>
          <t>0</t>
        </is>
      </c>
      <c r="K284" t="inlineStr">
        <is>
          <t>Barclay, William, 1907-1978.</t>
        </is>
      </c>
      <c r="L284" t="inlineStr">
        <is>
          <t>San Francisco : Harper &amp; Row, [1982], c1959.</t>
        </is>
      </c>
      <c r="M284" t="inlineStr">
        <is>
          <t>1982</t>
        </is>
      </c>
      <c r="O284" t="inlineStr">
        <is>
          <t>eng</t>
        </is>
      </c>
      <c r="P284" t="inlineStr">
        <is>
          <t>cau</t>
        </is>
      </c>
      <c r="R284" t="inlineStr">
        <is>
          <t xml:space="preserve">BV </t>
        </is>
      </c>
      <c r="S284" t="n">
        <v>1</v>
      </c>
      <c r="T284" t="n">
        <v>1</v>
      </c>
      <c r="U284" t="inlineStr">
        <is>
          <t>2010-06-29</t>
        </is>
      </c>
      <c r="V284" t="inlineStr">
        <is>
          <t>2010-06-29</t>
        </is>
      </c>
      <c r="W284" t="inlineStr">
        <is>
          <t>2010-06-29</t>
        </is>
      </c>
      <c r="X284" t="inlineStr">
        <is>
          <t>2010-06-29</t>
        </is>
      </c>
      <c r="Y284" t="n">
        <v>32</v>
      </c>
      <c r="Z284" t="n">
        <v>32</v>
      </c>
      <c r="AA284" t="n">
        <v>132</v>
      </c>
      <c r="AB284" t="n">
        <v>1</v>
      </c>
      <c r="AC284" t="n">
        <v>3</v>
      </c>
      <c r="AD284" t="n">
        <v>0</v>
      </c>
      <c r="AE284" t="n">
        <v>3</v>
      </c>
      <c r="AF284" t="n">
        <v>0</v>
      </c>
      <c r="AG284" t="n">
        <v>0</v>
      </c>
      <c r="AH284" t="n">
        <v>0</v>
      </c>
      <c r="AI284" t="n">
        <v>1</v>
      </c>
      <c r="AJ284" t="n">
        <v>0</v>
      </c>
      <c r="AK284" t="n">
        <v>0</v>
      </c>
      <c r="AL284" t="n">
        <v>0</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HYPERLINK("https://creighton-primo.hosted.exlibrisgroup.com/primo-explore/search?tab=default_tab&amp;search_scope=EVERYTHING&amp;vid=01CRU&amp;lang=en_US&amp;offset=0&amp;query=any,contains,991000015759702656","Catalog Record")</f>
        <v/>
      </c>
      <c r="AT284">
        <f>HYPERLINK("http://www.worldcat.org/oclc/7553907","WorldCat Record")</f>
        <v/>
      </c>
      <c r="AU284" t="inlineStr">
        <is>
          <t>570067:eng</t>
        </is>
      </c>
      <c r="AV284" t="inlineStr">
        <is>
          <t>7553907</t>
        </is>
      </c>
      <c r="AW284" t="inlineStr">
        <is>
          <t>991000015759702656</t>
        </is>
      </c>
      <c r="AX284" t="inlineStr">
        <is>
          <t>991000015759702656</t>
        </is>
      </c>
      <c r="AY284" t="inlineStr">
        <is>
          <t>2265085300002656</t>
        </is>
      </c>
      <c r="AZ284" t="inlineStr">
        <is>
          <t>BOOK</t>
        </is>
      </c>
      <c r="BB284" t="inlineStr">
        <is>
          <t>9780060604110</t>
        </is>
      </c>
      <c r="BC284" t="inlineStr">
        <is>
          <t>32285005589170</t>
        </is>
      </c>
      <c r="BD284" t="inlineStr">
        <is>
          <t>893521308</t>
        </is>
      </c>
    </row>
    <row r="285">
      <c r="A285" t="inlineStr">
        <is>
          <t>No</t>
        </is>
      </c>
      <c r="B285" t="inlineStr">
        <is>
          <t>BV245 .C35 1969</t>
        </is>
      </c>
      <c r="C285" t="inlineStr">
        <is>
          <t>0                      BV 0245000C  35          1969</t>
        </is>
      </c>
      <c r="D285" t="inlineStr">
        <is>
          <t>Tender of wishes : the prayers of a young priest / James Carroll.</t>
        </is>
      </c>
      <c r="F285" t="inlineStr">
        <is>
          <t>No</t>
        </is>
      </c>
      <c r="G285" t="inlineStr">
        <is>
          <t>1</t>
        </is>
      </c>
      <c r="H285" t="inlineStr">
        <is>
          <t>No</t>
        </is>
      </c>
      <c r="I285" t="inlineStr">
        <is>
          <t>No</t>
        </is>
      </c>
      <c r="J285" t="inlineStr">
        <is>
          <t>0</t>
        </is>
      </c>
      <c r="K285" t="inlineStr">
        <is>
          <t>Carroll, James, 1943-</t>
        </is>
      </c>
      <c r="L285" t="inlineStr">
        <is>
          <t>Paramus, N.J. : Newman Press, c1969.</t>
        </is>
      </c>
      <c r="M285" t="inlineStr">
        <is>
          <t>1969</t>
        </is>
      </c>
      <c r="O285" t="inlineStr">
        <is>
          <t>eng</t>
        </is>
      </c>
      <c r="P285" t="inlineStr">
        <is>
          <t>nju</t>
        </is>
      </c>
      <c r="R285" t="inlineStr">
        <is>
          <t xml:space="preserve">BV </t>
        </is>
      </c>
      <c r="S285" t="n">
        <v>3</v>
      </c>
      <c r="T285" t="n">
        <v>3</v>
      </c>
      <c r="U285" t="inlineStr">
        <is>
          <t>2003-04-03</t>
        </is>
      </c>
      <c r="V285" t="inlineStr">
        <is>
          <t>2003-04-03</t>
        </is>
      </c>
      <c r="W285" t="inlineStr">
        <is>
          <t>1991-12-05</t>
        </is>
      </c>
      <c r="X285" t="inlineStr">
        <is>
          <t>1991-12-05</t>
        </is>
      </c>
      <c r="Y285" t="n">
        <v>31</v>
      </c>
      <c r="Z285" t="n">
        <v>25</v>
      </c>
      <c r="AA285" t="n">
        <v>33</v>
      </c>
      <c r="AB285" t="n">
        <v>1</v>
      </c>
      <c r="AC285" t="n">
        <v>1</v>
      </c>
      <c r="AD285" t="n">
        <v>5</v>
      </c>
      <c r="AE285" t="n">
        <v>8</v>
      </c>
      <c r="AF285" t="n">
        <v>3</v>
      </c>
      <c r="AG285" t="n">
        <v>4</v>
      </c>
      <c r="AH285" t="n">
        <v>3</v>
      </c>
      <c r="AI285" t="n">
        <v>3</v>
      </c>
      <c r="AJ285" t="n">
        <v>2</v>
      </c>
      <c r="AK285" t="n">
        <v>4</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HYPERLINK("https://creighton-primo.hosted.exlibrisgroup.com/primo-explore/search?tab=default_tab&amp;search_scope=EVERYTHING&amp;vid=01CRU&amp;lang=en_US&amp;offset=0&amp;query=any,contains,991000920079702656","Catalog Record")</f>
        <v/>
      </c>
      <c r="AT285">
        <f>HYPERLINK("http://www.worldcat.org/oclc/14191886","WorldCat Record")</f>
        <v/>
      </c>
      <c r="AU285" t="inlineStr">
        <is>
          <t>2242727:eng</t>
        </is>
      </c>
      <c r="AV285" t="inlineStr">
        <is>
          <t>14191886</t>
        </is>
      </c>
      <c r="AW285" t="inlineStr">
        <is>
          <t>991000920079702656</t>
        </is>
      </c>
      <c r="AX285" t="inlineStr">
        <is>
          <t>991000920079702656</t>
        </is>
      </c>
      <c r="AY285" t="inlineStr">
        <is>
          <t>2256933830002656</t>
        </is>
      </c>
      <c r="AZ285" t="inlineStr">
        <is>
          <t>BOOK</t>
        </is>
      </c>
      <c r="BC285" t="inlineStr">
        <is>
          <t>32285000837517</t>
        </is>
      </c>
      <c r="BD285" t="inlineStr">
        <is>
          <t>893715017</t>
        </is>
      </c>
    </row>
    <row r="286">
      <c r="A286" t="inlineStr">
        <is>
          <t>No</t>
        </is>
      </c>
      <c r="B286" t="inlineStr">
        <is>
          <t>BV245 .C628 1997</t>
        </is>
      </c>
      <c r="C286" t="inlineStr">
        <is>
          <t>0                      BV 0245000C  628         1997</t>
        </is>
      </c>
      <c r="D286" t="inlineStr">
        <is>
          <t>The complete book of Christian prayer.</t>
        </is>
      </c>
      <c r="F286" t="inlineStr">
        <is>
          <t>No</t>
        </is>
      </c>
      <c r="G286" t="inlineStr">
        <is>
          <t>1</t>
        </is>
      </c>
      <c r="H286" t="inlineStr">
        <is>
          <t>No</t>
        </is>
      </c>
      <c r="I286" t="inlineStr">
        <is>
          <t>No</t>
        </is>
      </c>
      <c r="J286" t="inlineStr">
        <is>
          <t>0</t>
        </is>
      </c>
      <c r="L286" t="inlineStr">
        <is>
          <t>New York : Continuum Publishing Co., 1997.</t>
        </is>
      </c>
      <c r="M286" t="inlineStr">
        <is>
          <t>1997</t>
        </is>
      </c>
      <c r="O286" t="inlineStr">
        <is>
          <t>eng</t>
        </is>
      </c>
      <c r="P286" t="inlineStr">
        <is>
          <t>nyu</t>
        </is>
      </c>
      <c r="R286" t="inlineStr">
        <is>
          <t xml:space="preserve">BV </t>
        </is>
      </c>
      <c r="S286" t="n">
        <v>5</v>
      </c>
      <c r="T286" t="n">
        <v>5</v>
      </c>
      <c r="U286" t="inlineStr">
        <is>
          <t>2004-07-16</t>
        </is>
      </c>
      <c r="V286" t="inlineStr">
        <is>
          <t>2004-07-16</t>
        </is>
      </c>
      <c r="W286" t="inlineStr">
        <is>
          <t>1999-01-28</t>
        </is>
      </c>
      <c r="X286" t="inlineStr">
        <is>
          <t>1999-01-28</t>
        </is>
      </c>
      <c r="Y286" t="n">
        <v>250</v>
      </c>
      <c r="Z286" t="n">
        <v>242</v>
      </c>
      <c r="AA286" t="n">
        <v>268</v>
      </c>
      <c r="AB286" t="n">
        <v>2</v>
      </c>
      <c r="AC286" t="n">
        <v>2</v>
      </c>
      <c r="AD286" t="n">
        <v>12</v>
      </c>
      <c r="AE286" t="n">
        <v>14</v>
      </c>
      <c r="AF286" t="n">
        <v>3</v>
      </c>
      <c r="AG286" t="n">
        <v>5</v>
      </c>
      <c r="AH286" t="n">
        <v>3</v>
      </c>
      <c r="AI286" t="n">
        <v>3</v>
      </c>
      <c r="AJ286" t="n">
        <v>8</v>
      </c>
      <c r="AK286" t="n">
        <v>9</v>
      </c>
      <c r="AL286" t="n">
        <v>0</v>
      </c>
      <c r="AM286" t="n">
        <v>0</v>
      </c>
      <c r="AN286" t="n">
        <v>0</v>
      </c>
      <c r="AO286" t="n">
        <v>0</v>
      </c>
      <c r="AP286" t="inlineStr">
        <is>
          <t>No</t>
        </is>
      </c>
      <c r="AQ286" t="inlineStr">
        <is>
          <t>Yes</t>
        </is>
      </c>
      <c r="AR286">
        <f>HYPERLINK("http://catalog.hathitrust.org/Record/009923326","HathiTrust Record")</f>
        <v/>
      </c>
      <c r="AS286">
        <f>HYPERLINK("https://creighton-primo.hosted.exlibrisgroup.com/primo-explore/search?tab=default_tab&amp;search_scope=EVERYTHING&amp;vid=01CRU&amp;lang=en_US&amp;offset=0&amp;query=any,contains,991005425609702656","Catalog Record")</f>
        <v/>
      </c>
      <c r="AT286">
        <f>HYPERLINK("http://www.worldcat.org/oclc/36188057","WorldCat Record")</f>
        <v/>
      </c>
      <c r="AU286" t="inlineStr">
        <is>
          <t>56139192:eng</t>
        </is>
      </c>
      <c r="AV286" t="inlineStr">
        <is>
          <t>36188057</t>
        </is>
      </c>
      <c r="AW286" t="inlineStr">
        <is>
          <t>991005425609702656</t>
        </is>
      </c>
      <c r="AX286" t="inlineStr">
        <is>
          <t>991005425609702656</t>
        </is>
      </c>
      <c r="AY286" t="inlineStr">
        <is>
          <t>2266273840002656</t>
        </is>
      </c>
      <c r="AZ286" t="inlineStr">
        <is>
          <t>BOOK</t>
        </is>
      </c>
      <c r="BB286" t="inlineStr">
        <is>
          <t>9780826408723</t>
        </is>
      </c>
      <c r="BC286" t="inlineStr">
        <is>
          <t>32285003516993</t>
        </is>
      </c>
      <c r="BD286" t="inlineStr">
        <is>
          <t>893619984</t>
        </is>
      </c>
    </row>
    <row r="287">
      <c r="A287" t="inlineStr">
        <is>
          <t>No</t>
        </is>
      </c>
      <c r="B287" t="inlineStr">
        <is>
          <t>BV245 .H57 1973</t>
        </is>
      </c>
      <c r="C287" t="inlineStr">
        <is>
          <t>0                      BV 0245000H  57          1973</t>
        </is>
      </c>
      <c r="D287" t="inlineStr">
        <is>
          <t>It's me, O Lord! : New prayers for every day / by Michael Hollings and Etta Gullick. Illustrated by Paul Shuttleworth.</t>
        </is>
      </c>
      <c r="F287" t="inlineStr">
        <is>
          <t>No</t>
        </is>
      </c>
      <c r="G287" t="inlineStr">
        <is>
          <t>1</t>
        </is>
      </c>
      <c r="H287" t="inlineStr">
        <is>
          <t>No</t>
        </is>
      </c>
      <c r="I287" t="inlineStr">
        <is>
          <t>No</t>
        </is>
      </c>
      <c r="J287" t="inlineStr">
        <is>
          <t>0</t>
        </is>
      </c>
      <c r="K287" t="inlineStr">
        <is>
          <t>Hollings, Michael.</t>
        </is>
      </c>
      <c r="L287" t="inlineStr">
        <is>
          <t>Garden City, N.Y. : Doubleday, 1973.</t>
        </is>
      </c>
      <c r="M287" t="inlineStr">
        <is>
          <t>1973</t>
        </is>
      </c>
      <c r="N287" t="inlineStr">
        <is>
          <t>[1st ed.]</t>
        </is>
      </c>
      <c r="O287" t="inlineStr">
        <is>
          <t>eng</t>
        </is>
      </c>
      <c r="P287" t="inlineStr">
        <is>
          <t>nyu</t>
        </is>
      </c>
      <c r="R287" t="inlineStr">
        <is>
          <t xml:space="preserve">BV </t>
        </is>
      </c>
      <c r="S287" t="n">
        <v>2</v>
      </c>
      <c r="T287" t="n">
        <v>2</v>
      </c>
      <c r="U287" t="inlineStr">
        <is>
          <t>1992-12-08</t>
        </is>
      </c>
      <c r="V287" t="inlineStr">
        <is>
          <t>1992-12-08</t>
        </is>
      </c>
      <c r="W287" t="inlineStr">
        <is>
          <t>1991-12-05</t>
        </is>
      </c>
      <c r="X287" t="inlineStr">
        <is>
          <t>1991-12-05</t>
        </is>
      </c>
      <c r="Y287" t="n">
        <v>143</v>
      </c>
      <c r="Z287" t="n">
        <v>136</v>
      </c>
      <c r="AA287" t="n">
        <v>143</v>
      </c>
      <c r="AB287" t="n">
        <v>1</v>
      </c>
      <c r="AC287" t="n">
        <v>1</v>
      </c>
      <c r="AD287" t="n">
        <v>3</v>
      </c>
      <c r="AE287" t="n">
        <v>4</v>
      </c>
      <c r="AF287" t="n">
        <v>0</v>
      </c>
      <c r="AG287" t="n">
        <v>0</v>
      </c>
      <c r="AH287" t="n">
        <v>1</v>
      </c>
      <c r="AI287" t="n">
        <v>1</v>
      </c>
      <c r="AJ287" t="n">
        <v>2</v>
      </c>
      <c r="AK287" t="n">
        <v>3</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HYPERLINK("https://creighton-primo.hosted.exlibrisgroup.com/primo-explore/search?tab=default_tab&amp;search_scope=EVERYTHING&amp;vid=01CRU&amp;lang=en_US&amp;offset=0&amp;query=any,contains,991003196289702656","Catalog Record")</f>
        <v/>
      </c>
      <c r="AT287">
        <f>HYPERLINK("http://www.worldcat.org/oclc/721715","WorldCat Record")</f>
        <v/>
      </c>
      <c r="AU287" t="inlineStr">
        <is>
          <t>1705270:eng</t>
        </is>
      </c>
      <c r="AV287" t="inlineStr">
        <is>
          <t>721715</t>
        </is>
      </c>
      <c r="AW287" t="inlineStr">
        <is>
          <t>991003196289702656</t>
        </is>
      </c>
      <c r="AX287" t="inlineStr">
        <is>
          <t>991003196289702656</t>
        </is>
      </c>
      <c r="AY287" t="inlineStr">
        <is>
          <t>2258939230002656</t>
        </is>
      </c>
      <c r="AZ287" t="inlineStr">
        <is>
          <t>BOOK</t>
        </is>
      </c>
      <c r="BB287" t="inlineStr">
        <is>
          <t>9780385041416</t>
        </is>
      </c>
      <c r="BC287" t="inlineStr">
        <is>
          <t>32285000837533</t>
        </is>
      </c>
      <c r="BD287" t="inlineStr">
        <is>
          <t>893511663</t>
        </is>
      </c>
    </row>
    <row r="288">
      <c r="A288" t="inlineStr">
        <is>
          <t>No</t>
        </is>
      </c>
      <c r="B288" t="inlineStr">
        <is>
          <t>BV245 .J62 1996</t>
        </is>
      </c>
      <c r="C288" t="inlineStr">
        <is>
          <t>0                      BV 0245000J  62          1996</t>
        </is>
      </c>
      <c r="D288" t="inlineStr">
        <is>
          <t>The prayers of Pope John Paul II / selected and arranged by Paul Thigpen.</t>
        </is>
      </c>
      <c r="F288" t="inlineStr">
        <is>
          <t>No</t>
        </is>
      </c>
      <c r="G288" t="inlineStr">
        <is>
          <t>1</t>
        </is>
      </c>
      <c r="H288" t="inlineStr">
        <is>
          <t>No</t>
        </is>
      </c>
      <c r="I288" t="inlineStr">
        <is>
          <t>No</t>
        </is>
      </c>
      <c r="J288" t="inlineStr">
        <is>
          <t>0</t>
        </is>
      </c>
      <c r="K288" t="inlineStr">
        <is>
          <t>John Paul II, Pope, 1920-2005.</t>
        </is>
      </c>
      <c r="L288" t="inlineStr">
        <is>
          <t>Ann Arbor, Mich. : Servant Publications, c1996.</t>
        </is>
      </c>
      <c r="M288" t="inlineStr">
        <is>
          <t>1996</t>
        </is>
      </c>
      <c r="O288" t="inlineStr">
        <is>
          <t>eng</t>
        </is>
      </c>
      <c r="P288" t="inlineStr">
        <is>
          <t>miu</t>
        </is>
      </c>
      <c r="R288" t="inlineStr">
        <is>
          <t xml:space="preserve">BV </t>
        </is>
      </c>
      <c r="S288" t="n">
        <v>1</v>
      </c>
      <c r="T288" t="n">
        <v>1</v>
      </c>
      <c r="U288" t="inlineStr">
        <is>
          <t>2000-07-24</t>
        </is>
      </c>
      <c r="V288" t="inlineStr">
        <is>
          <t>2000-07-24</t>
        </is>
      </c>
      <c r="W288" t="inlineStr">
        <is>
          <t>1997-03-12</t>
        </is>
      </c>
      <c r="X288" t="inlineStr">
        <is>
          <t>1997-03-12</t>
        </is>
      </c>
      <c r="Y288" t="n">
        <v>29</v>
      </c>
      <c r="Z288" t="n">
        <v>27</v>
      </c>
      <c r="AA288" t="n">
        <v>108</v>
      </c>
      <c r="AB288" t="n">
        <v>2</v>
      </c>
      <c r="AC288" t="n">
        <v>2</v>
      </c>
      <c r="AD288" t="n">
        <v>2</v>
      </c>
      <c r="AE288" t="n">
        <v>13</v>
      </c>
      <c r="AF288" t="n">
        <v>1</v>
      </c>
      <c r="AG288" t="n">
        <v>3</v>
      </c>
      <c r="AH288" t="n">
        <v>1</v>
      </c>
      <c r="AI288" t="n">
        <v>4</v>
      </c>
      <c r="AJ288" t="n">
        <v>1</v>
      </c>
      <c r="AK288" t="n">
        <v>9</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HYPERLINK("https://creighton-primo.hosted.exlibrisgroup.com/primo-explore/search?tab=default_tab&amp;search_scope=EVERYTHING&amp;vid=01CRU&amp;lang=en_US&amp;offset=0&amp;query=any,contains,991002606829702656","Catalog Record")</f>
        <v/>
      </c>
      <c r="AT288">
        <f>HYPERLINK("http://www.worldcat.org/oclc/34150058","WorldCat Record")</f>
        <v/>
      </c>
      <c r="AU288" t="inlineStr">
        <is>
          <t>3144677928:eng</t>
        </is>
      </c>
      <c r="AV288" t="inlineStr">
        <is>
          <t>34150058</t>
        </is>
      </c>
      <c r="AW288" t="inlineStr">
        <is>
          <t>991002606829702656</t>
        </is>
      </c>
      <c r="AX288" t="inlineStr">
        <is>
          <t>991002606829702656</t>
        </is>
      </c>
      <c r="AY288" t="inlineStr">
        <is>
          <t>2261358850002656</t>
        </is>
      </c>
      <c r="AZ288" t="inlineStr">
        <is>
          <t>BOOK</t>
        </is>
      </c>
      <c r="BB288" t="inlineStr">
        <is>
          <t>9780892839636</t>
        </is>
      </c>
      <c r="BC288" t="inlineStr">
        <is>
          <t>32285002442050</t>
        </is>
      </c>
      <c r="BD288" t="inlineStr">
        <is>
          <t>893257501</t>
        </is>
      </c>
    </row>
    <row r="289">
      <c r="A289" t="inlineStr">
        <is>
          <t>No</t>
        </is>
      </c>
      <c r="B289" t="inlineStr">
        <is>
          <t>BV245 .L55 1997</t>
        </is>
      </c>
      <c r="C289" t="inlineStr">
        <is>
          <t>0                      BV 0245000L  55          1997</t>
        </is>
      </c>
      <c r="D289" t="inlineStr">
        <is>
          <t>The Doubleday prayer collection / selected and arranged by Mary Batchelor.</t>
        </is>
      </c>
      <c r="F289" t="inlineStr">
        <is>
          <t>No</t>
        </is>
      </c>
      <c r="G289" t="inlineStr">
        <is>
          <t>1</t>
        </is>
      </c>
      <c r="H289" t="inlineStr">
        <is>
          <t>No</t>
        </is>
      </c>
      <c r="I289" t="inlineStr">
        <is>
          <t>No</t>
        </is>
      </c>
      <c r="J289" t="inlineStr">
        <is>
          <t>0</t>
        </is>
      </c>
      <c r="K289" t="inlineStr">
        <is>
          <t>Lion prayer collection.</t>
        </is>
      </c>
      <c r="L289" t="inlineStr">
        <is>
          <t>New York : Doubleday, 1997.</t>
        </is>
      </c>
      <c r="M289" t="inlineStr">
        <is>
          <t>1997</t>
        </is>
      </c>
      <c r="N289" t="inlineStr">
        <is>
          <t>1st ed. in the U.S.</t>
        </is>
      </c>
      <c r="O289" t="inlineStr">
        <is>
          <t>eng</t>
        </is>
      </c>
      <c r="P289" t="inlineStr">
        <is>
          <t>nyu</t>
        </is>
      </c>
      <c r="R289" t="inlineStr">
        <is>
          <t xml:space="preserve">BV </t>
        </is>
      </c>
      <c r="S289" t="n">
        <v>3</v>
      </c>
      <c r="T289" t="n">
        <v>3</v>
      </c>
      <c r="U289" t="inlineStr">
        <is>
          <t>2006-09-14</t>
        </is>
      </c>
      <c r="V289" t="inlineStr">
        <is>
          <t>2006-09-14</t>
        </is>
      </c>
      <c r="W289" t="inlineStr">
        <is>
          <t>1998-08-13</t>
        </is>
      </c>
      <c r="X289" t="inlineStr">
        <is>
          <t>1998-08-13</t>
        </is>
      </c>
      <c r="Y289" t="n">
        <v>406</v>
      </c>
      <c r="Z289" t="n">
        <v>389</v>
      </c>
      <c r="AA289" t="n">
        <v>402</v>
      </c>
      <c r="AB289" t="n">
        <v>3</v>
      </c>
      <c r="AC289" t="n">
        <v>3</v>
      </c>
      <c r="AD289" t="n">
        <v>3</v>
      </c>
      <c r="AE289" t="n">
        <v>3</v>
      </c>
      <c r="AF289" t="n">
        <v>0</v>
      </c>
      <c r="AG289" t="n">
        <v>0</v>
      </c>
      <c r="AH289" t="n">
        <v>1</v>
      </c>
      <c r="AI289" t="n">
        <v>1</v>
      </c>
      <c r="AJ289" t="n">
        <v>2</v>
      </c>
      <c r="AK289" t="n">
        <v>2</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HYPERLINK("https://creighton-primo.hosted.exlibrisgroup.com/primo-explore/search?tab=default_tab&amp;search_scope=EVERYTHING&amp;vid=01CRU&amp;lang=en_US&amp;offset=0&amp;query=any,contains,991002791439702656","Catalog Record")</f>
        <v/>
      </c>
      <c r="AT289">
        <f>HYPERLINK("http://www.worldcat.org/oclc/36656504","WorldCat Record")</f>
        <v/>
      </c>
      <c r="AU289" t="inlineStr">
        <is>
          <t>892361985:eng</t>
        </is>
      </c>
      <c r="AV289" t="inlineStr">
        <is>
          <t>36656504</t>
        </is>
      </c>
      <c r="AW289" t="inlineStr">
        <is>
          <t>991002791439702656</t>
        </is>
      </c>
      <c r="AX289" t="inlineStr">
        <is>
          <t>991002791439702656</t>
        </is>
      </c>
      <c r="AY289" t="inlineStr">
        <is>
          <t>2265533710002656</t>
        </is>
      </c>
      <c r="AZ289" t="inlineStr">
        <is>
          <t>BOOK</t>
        </is>
      </c>
      <c r="BB289" t="inlineStr">
        <is>
          <t>9780385488471</t>
        </is>
      </c>
      <c r="BC289" t="inlineStr">
        <is>
          <t>32285003453239</t>
        </is>
      </c>
      <c r="BD289" t="inlineStr">
        <is>
          <t>893627307</t>
        </is>
      </c>
    </row>
    <row r="290">
      <c r="A290" t="inlineStr">
        <is>
          <t>No</t>
        </is>
      </c>
      <c r="B290" t="inlineStr">
        <is>
          <t>BV245 .M37 1987</t>
        </is>
      </c>
      <c r="C290" t="inlineStr">
        <is>
          <t>0                      BV 0245000M  37          1987</t>
        </is>
      </c>
      <c r="D290" t="inlineStr">
        <is>
          <t>Journeying with the Lord ; reflections for every day / Carlo Maria Martini.</t>
        </is>
      </c>
      <c r="F290" t="inlineStr">
        <is>
          <t>No</t>
        </is>
      </c>
      <c r="G290" t="inlineStr">
        <is>
          <t>1</t>
        </is>
      </c>
      <c r="H290" t="inlineStr">
        <is>
          <t>No</t>
        </is>
      </c>
      <c r="I290" t="inlineStr">
        <is>
          <t>No</t>
        </is>
      </c>
      <c r="J290" t="inlineStr">
        <is>
          <t>0</t>
        </is>
      </c>
      <c r="K290" t="inlineStr">
        <is>
          <t>Martini, Carlo Maria, 1927-2012.</t>
        </is>
      </c>
      <c r="L290" t="inlineStr">
        <is>
          <t>New York : Alba House, 1987.</t>
        </is>
      </c>
      <c r="M290" t="inlineStr">
        <is>
          <t>1987</t>
        </is>
      </c>
      <c r="O290" t="inlineStr">
        <is>
          <t>eng</t>
        </is>
      </c>
      <c r="P290" t="inlineStr">
        <is>
          <t>nyu</t>
        </is>
      </c>
      <c r="R290" t="inlineStr">
        <is>
          <t xml:space="preserve">BV </t>
        </is>
      </c>
      <c r="S290" t="n">
        <v>4</v>
      </c>
      <c r="T290" t="n">
        <v>4</v>
      </c>
      <c r="U290" t="inlineStr">
        <is>
          <t>2002-06-05</t>
        </is>
      </c>
      <c r="V290" t="inlineStr">
        <is>
          <t>2002-06-05</t>
        </is>
      </c>
      <c r="W290" t="inlineStr">
        <is>
          <t>1989-10-24</t>
        </is>
      </c>
      <c r="X290" t="inlineStr">
        <is>
          <t>1989-10-24</t>
        </is>
      </c>
      <c r="Y290" t="n">
        <v>51</v>
      </c>
      <c r="Z290" t="n">
        <v>46</v>
      </c>
      <c r="AA290" t="n">
        <v>46</v>
      </c>
      <c r="AB290" t="n">
        <v>1</v>
      </c>
      <c r="AC290" t="n">
        <v>1</v>
      </c>
      <c r="AD290" t="n">
        <v>6</v>
      </c>
      <c r="AE290" t="n">
        <v>6</v>
      </c>
      <c r="AF290" t="n">
        <v>0</v>
      </c>
      <c r="AG290" t="n">
        <v>0</v>
      </c>
      <c r="AH290" t="n">
        <v>1</v>
      </c>
      <c r="AI290" t="n">
        <v>1</v>
      </c>
      <c r="AJ290" t="n">
        <v>5</v>
      </c>
      <c r="AK290" t="n">
        <v>5</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HYPERLINK("https://creighton-primo.hosted.exlibrisgroup.com/primo-explore/search?tab=default_tab&amp;search_scope=EVERYTHING&amp;vid=01CRU&amp;lang=en_US&amp;offset=0&amp;query=any,contains,991001168249702656","Catalog Record")</f>
        <v/>
      </c>
      <c r="AT290">
        <f>HYPERLINK("http://www.worldcat.org/oclc/16931317","WorldCat Record")</f>
        <v/>
      </c>
      <c r="AU290" t="inlineStr">
        <is>
          <t>2023816:eng</t>
        </is>
      </c>
      <c r="AV290" t="inlineStr">
        <is>
          <t>16931317</t>
        </is>
      </c>
      <c r="AW290" t="inlineStr">
        <is>
          <t>991001168249702656</t>
        </is>
      </c>
      <c r="AX290" t="inlineStr">
        <is>
          <t>991001168249702656</t>
        </is>
      </c>
      <c r="AY290" t="inlineStr">
        <is>
          <t>2256337910002656</t>
        </is>
      </c>
      <c r="AZ290" t="inlineStr">
        <is>
          <t>BOOK</t>
        </is>
      </c>
      <c r="BB290" t="inlineStr">
        <is>
          <t>9780818905087</t>
        </is>
      </c>
      <c r="BC290" t="inlineStr">
        <is>
          <t>32285000010339</t>
        </is>
      </c>
      <c r="BD290" t="inlineStr">
        <is>
          <t>893250027</t>
        </is>
      </c>
    </row>
    <row r="291">
      <c r="A291" t="inlineStr">
        <is>
          <t>No</t>
        </is>
      </c>
      <c r="B291" t="inlineStr">
        <is>
          <t>BV245 .N494 1997</t>
        </is>
      </c>
      <c r="C291" t="inlineStr">
        <is>
          <t>0                      BV 0245000N  494         1997</t>
        </is>
      </c>
      <c r="D291" t="inlineStr">
        <is>
          <t>Celtic prayers from Iona / J. Philip Newell.</t>
        </is>
      </c>
      <c r="F291" t="inlineStr">
        <is>
          <t>No</t>
        </is>
      </c>
      <c r="G291" t="inlineStr">
        <is>
          <t>1</t>
        </is>
      </c>
      <c r="H291" t="inlineStr">
        <is>
          <t>No</t>
        </is>
      </c>
      <c r="I291" t="inlineStr">
        <is>
          <t>No</t>
        </is>
      </c>
      <c r="J291" t="inlineStr">
        <is>
          <t>0</t>
        </is>
      </c>
      <c r="K291" t="inlineStr">
        <is>
          <t>Newell, J. Philip.</t>
        </is>
      </c>
      <c r="L291" t="inlineStr">
        <is>
          <t>New York : Paulist Press, c1997.</t>
        </is>
      </c>
      <c r="M291" t="inlineStr">
        <is>
          <t>1997</t>
        </is>
      </c>
      <c r="O291" t="inlineStr">
        <is>
          <t>eng</t>
        </is>
      </c>
      <c r="P291" t="inlineStr">
        <is>
          <t>nyu</t>
        </is>
      </c>
      <c r="R291" t="inlineStr">
        <is>
          <t xml:space="preserve">BV </t>
        </is>
      </c>
      <c r="S291" t="n">
        <v>1</v>
      </c>
      <c r="T291" t="n">
        <v>1</v>
      </c>
      <c r="U291" t="inlineStr">
        <is>
          <t>2004-06-11</t>
        </is>
      </c>
      <c r="V291" t="inlineStr">
        <is>
          <t>2004-06-11</t>
        </is>
      </c>
      <c r="W291" t="inlineStr">
        <is>
          <t>1998-01-12</t>
        </is>
      </c>
      <c r="X291" t="inlineStr">
        <is>
          <t>1998-01-12</t>
        </is>
      </c>
      <c r="Y291" t="n">
        <v>161</v>
      </c>
      <c r="Z291" t="n">
        <v>135</v>
      </c>
      <c r="AA291" t="n">
        <v>135</v>
      </c>
      <c r="AB291" t="n">
        <v>2</v>
      </c>
      <c r="AC291" t="n">
        <v>2</v>
      </c>
      <c r="AD291" t="n">
        <v>9</v>
      </c>
      <c r="AE291" t="n">
        <v>9</v>
      </c>
      <c r="AF291" t="n">
        <v>3</v>
      </c>
      <c r="AG291" t="n">
        <v>3</v>
      </c>
      <c r="AH291" t="n">
        <v>2</v>
      </c>
      <c r="AI291" t="n">
        <v>2</v>
      </c>
      <c r="AJ291" t="n">
        <v>4</v>
      </c>
      <c r="AK291" t="n">
        <v>4</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HYPERLINK("https://creighton-primo.hosted.exlibrisgroup.com/primo-explore/search?tab=default_tab&amp;search_scope=EVERYTHING&amp;vid=01CRU&amp;lang=en_US&amp;offset=0&amp;query=any,contains,991002737979702656","Catalog Record")</f>
        <v/>
      </c>
      <c r="AT291">
        <f>HYPERLINK("http://www.worldcat.org/oclc/35955185","WorldCat Record")</f>
        <v/>
      </c>
      <c r="AU291" t="inlineStr">
        <is>
          <t>616851:eng</t>
        </is>
      </c>
      <c r="AV291" t="inlineStr">
        <is>
          <t>35955185</t>
        </is>
      </c>
      <c r="AW291" t="inlineStr">
        <is>
          <t>991002737979702656</t>
        </is>
      </c>
      <c r="AX291" t="inlineStr">
        <is>
          <t>991002737979702656</t>
        </is>
      </c>
      <c r="AY291" t="inlineStr">
        <is>
          <t>2271788140002656</t>
        </is>
      </c>
      <c r="AZ291" t="inlineStr">
        <is>
          <t>BOOK</t>
        </is>
      </c>
      <c r="BB291" t="inlineStr">
        <is>
          <t>9780809104888</t>
        </is>
      </c>
      <c r="BC291" t="inlineStr">
        <is>
          <t>32285003302931</t>
        </is>
      </c>
      <c r="BD291" t="inlineStr">
        <is>
          <t>893323306</t>
        </is>
      </c>
    </row>
    <row r="292">
      <c r="A292" t="inlineStr">
        <is>
          <t>No</t>
        </is>
      </c>
      <c r="B292" t="inlineStr">
        <is>
          <t>BV2521 .M37 1989</t>
        </is>
      </c>
      <c r="C292" t="inlineStr">
        <is>
          <t>0                      BV 2521000M  37          1989</t>
        </is>
      </c>
      <c r="D292" t="inlineStr">
        <is>
          <t>Black Baptists and African missions : the origins of a movement, 1880-1915 / Sandy D. Martin.</t>
        </is>
      </c>
      <c r="F292" t="inlineStr">
        <is>
          <t>No</t>
        </is>
      </c>
      <c r="G292" t="inlineStr">
        <is>
          <t>1</t>
        </is>
      </c>
      <c r="H292" t="inlineStr">
        <is>
          <t>No</t>
        </is>
      </c>
      <c r="I292" t="inlineStr">
        <is>
          <t>No</t>
        </is>
      </c>
      <c r="J292" t="inlineStr">
        <is>
          <t>0</t>
        </is>
      </c>
      <c r="K292" t="inlineStr">
        <is>
          <t>Martin, Sandy Dwayne.</t>
        </is>
      </c>
      <c r="L292" t="inlineStr">
        <is>
          <t>Macon, Ga. : Mercer, c1989.</t>
        </is>
      </c>
      <c r="M292" t="inlineStr">
        <is>
          <t>1989</t>
        </is>
      </c>
      <c r="O292" t="inlineStr">
        <is>
          <t>eng</t>
        </is>
      </c>
      <c r="P292" t="inlineStr">
        <is>
          <t>gau</t>
        </is>
      </c>
      <c r="R292" t="inlineStr">
        <is>
          <t xml:space="preserve">BV </t>
        </is>
      </c>
      <c r="S292" t="n">
        <v>4</v>
      </c>
      <c r="T292" t="n">
        <v>4</v>
      </c>
      <c r="U292" t="inlineStr">
        <is>
          <t>1998-12-13</t>
        </is>
      </c>
      <c r="V292" t="inlineStr">
        <is>
          <t>1998-12-13</t>
        </is>
      </c>
      <c r="W292" t="inlineStr">
        <is>
          <t>1993-09-28</t>
        </is>
      </c>
      <c r="X292" t="inlineStr">
        <is>
          <t>1993-09-28</t>
        </is>
      </c>
      <c r="Y292" t="n">
        <v>435</v>
      </c>
      <c r="Z292" t="n">
        <v>406</v>
      </c>
      <c r="AA292" t="n">
        <v>440</v>
      </c>
      <c r="AB292" t="n">
        <v>4</v>
      </c>
      <c r="AC292" t="n">
        <v>4</v>
      </c>
      <c r="AD292" t="n">
        <v>17</v>
      </c>
      <c r="AE292" t="n">
        <v>17</v>
      </c>
      <c r="AF292" t="n">
        <v>5</v>
      </c>
      <c r="AG292" t="n">
        <v>5</v>
      </c>
      <c r="AH292" t="n">
        <v>5</v>
      </c>
      <c r="AI292" t="n">
        <v>5</v>
      </c>
      <c r="AJ292" t="n">
        <v>8</v>
      </c>
      <c r="AK292" t="n">
        <v>8</v>
      </c>
      <c r="AL292" t="n">
        <v>2</v>
      </c>
      <c r="AM292" t="n">
        <v>2</v>
      </c>
      <c r="AN292" t="n">
        <v>0</v>
      </c>
      <c r="AO292" t="n">
        <v>0</v>
      </c>
      <c r="AP292" t="inlineStr">
        <is>
          <t>No</t>
        </is>
      </c>
      <c r="AQ292" t="inlineStr">
        <is>
          <t>Yes</t>
        </is>
      </c>
      <c r="AR292">
        <f>HYPERLINK("http://catalog.hathitrust.org/Record/002234955","HathiTrust Record")</f>
        <v/>
      </c>
      <c r="AS292">
        <f>HYPERLINK("https://creighton-primo.hosted.exlibrisgroup.com/primo-explore/search?tab=default_tab&amp;search_scope=EVERYTHING&amp;vid=01CRU&amp;lang=en_US&amp;offset=0&amp;query=any,contains,991001555949702656","Catalog Record")</f>
        <v/>
      </c>
      <c r="AT292">
        <f>HYPERLINK("http://www.worldcat.org/oclc/20264054","WorldCat Record")</f>
        <v/>
      </c>
      <c r="AU292" t="inlineStr">
        <is>
          <t>22129520:eng</t>
        </is>
      </c>
      <c r="AV292" t="inlineStr">
        <is>
          <t>20264054</t>
        </is>
      </c>
      <c r="AW292" t="inlineStr">
        <is>
          <t>991001555949702656</t>
        </is>
      </c>
      <c r="AX292" t="inlineStr">
        <is>
          <t>991001555949702656</t>
        </is>
      </c>
      <c r="AY292" t="inlineStr">
        <is>
          <t>2259810280002656</t>
        </is>
      </c>
      <c r="AZ292" t="inlineStr">
        <is>
          <t>BOOK</t>
        </is>
      </c>
      <c r="BB292" t="inlineStr">
        <is>
          <t>9780865543539</t>
        </is>
      </c>
      <c r="BC292" t="inlineStr">
        <is>
          <t>32285001768141</t>
        </is>
      </c>
      <c r="BD292" t="inlineStr">
        <is>
          <t>893439208</t>
        </is>
      </c>
    </row>
    <row r="293">
      <c r="A293" t="inlineStr">
        <is>
          <t>No</t>
        </is>
      </c>
      <c r="B293" t="inlineStr">
        <is>
          <t>BV260 .K5 1963</t>
        </is>
      </c>
      <c r="C293" t="inlineStr">
        <is>
          <t>0                      BV 0260000K  5           1963</t>
        </is>
      </c>
      <c r="D293" t="inlineStr">
        <is>
          <t>The prayers of Kierkegaard / edited and with a new interpretation of his life and thought by Perry D. Le Fevre.</t>
        </is>
      </c>
      <c r="F293" t="inlineStr">
        <is>
          <t>No</t>
        </is>
      </c>
      <c r="G293" t="inlineStr">
        <is>
          <t>1</t>
        </is>
      </c>
      <c r="H293" t="inlineStr">
        <is>
          <t>No</t>
        </is>
      </c>
      <c r="I293" t="inlineStr">
        <is>
          <t>No</t>
        </is>
      </c>
      <c r="J293" t="inlineStr">
        <is>
          <t>0</t>
        </is>
      </c>
      <c r="K293" t="inlineStr">
        <is>
          <t>Kierkegaard, Søren, 1813-1855.</t>
        </is>
      </c>
      <c r="L293" t="inlineStr">
        <is>
          <t>Chicago : University of Chicago Press, 1963, c1956.</t>
        </is>
      </c>
      <c r="M293" t="inlineStr">
        <is>
          <t>1963</t>
        </is>
      </c>
      <c r="N293" t="inlineStr">
        <is>
          <t>1st Phoenix ed.</t>
        </is>
      </c>
      <c r="O293" t="inlineStr">
        <is>
          <t>eng</t>
        </is>
      </c>
      <c r="P293" t="inlineStr">
        <is>
          <t>ilu</t>
        </is>
      </c>
      <c r="Q293" t="inlineStr">
        <is>
          <t>Phoenix books</t>
        </is>
      </c>
      <c r="R293" t="inlineStr">
        <is>
          <t xml:space="preserve">BV </t>
        </is>
      </c>
      <c r="S293" t="n">
        <v>1</v>
      </c>
      <c r="T293" t="n">
        <v>1</v>
      </c>
      <c r="U293" t="inlineStr">
        <is>
          <t>1993-03-06</t>
        </is>
      </c>
      <c r="V293" t="inlineStr">
        <is>
          <t>1993-03-06</t>
        </is>
      </c>
      <c r="W293" t="inlineStr">
        <is>
          <t>1991-12-05</t>
        </is>
      </c>
      <c r="X293" t="inlineStr">
        <is>
          <t>1991-12-05</t>
        </is>
      </c>
      <c r="Y293" t="n">
        <v>199</v>
      </c>
      <c r="Z293" t="n">
        <v>156</v>
      </c>
      <c r="AA293" t="n">
        <v>254</v>
      </c>
      <c r="AB293" t="n">
        <v>2</v>
      </c>
      <c r="AC293" t="n">
        <v>2</v>
      </c>
      <c r="AD293" t="n">
        <v>11</v>
      </c>
      <c r="AE293" t="n">
        <v>15</v>
      </c>
      <c r="AF293" t="n">
        <v>2</v>
      </c>
      <c r="AG293" t="n">
        <v>4</v>
      </c>
      <c r="AH293" t="n">
        <v>2</v>
      </c>
      <c r="AI293" t="n">
        <v>5</v>
      </c>
      <c r="AJ293" t="n">
        <v>6</v>
      </c>
      <c r="AK293" t="n">
        <v>7</v>
      </c>
      <c r="AL293" t="n">
        <v>1</v>
      </c>
      <c r="AM293" t="n">
        <v>1</v>
      </c>
      <c r="AN293" t="n">
        <v>1</v>
      </c>
      <c r="AO293" t="n">
        <v>1</v>
      </c>
      <c r="AP293" t="inlineStr">
        <is>
          <t>No</t>
        </is>
      </c>
      <c r="AQ293" t="inlineStr">
        <is>
          <t>No</t>
        </is>
      </c>
      <c r="AS293">
        <f>HYPERLINK("https://creighton-primo.hosted.exlibrisgroup.com/primo-explore/search?tab=default_tab&amp;search_scope=EVERYTHING&amp;vid=01CRU&amp;lang=en_US&amp;offset=0&amp;query=any,contains,991004733749702656","Catalog Record")</f>
        <v/>
      </c>
      <c r="AT293">
        <f>HYPERLINK("http://www.worldcat.org/oclc/4843679","WorldCat Record")</f>
        <v/>
      </c>
      <c r="AU293" t="inlineStr">
        <is>
          <t>6824540:eng</t>
        </is>
      </c>
      <c r="AV293" t="inlineStr">
        <is>
          <t>4843679</t>
        </is>
      </c>
      <c r="AW293" t="inlineStr">
        <is>
          <t>991004733749702656</t>
        </is>
      </c>
      <c r="AX293" t="inlineStr">
        <is>
          <t>991004733749702656</t>
        </is>
      </c>
      <c r="AY293" t="inlineStr">
        <is>
          <t>2267836250002656</t>
        </is>
      </c>
      <c r="AZ293" t="inlineStr">
        <is>
          <t>BOOK</t>
        </is>
      </c>
      <c r="BB293" t="inlineStr">
        <is>
          <t>9780226470573</t>
        </is>
      </c>
      <c r="BC293" t="inlineStr">
        <is>
          <t>32285000837574</t>
        </is>
      </c>
      <c r="BD293" t="inlineStr">
        <is>
          <t>893810669</t>
        </is>
      </c>
    </row>
    <row r="294">
      <c r="A294" t="inlineStr">
        <is>
          <t>No</t>
        </is>
      </c>
      <c r="B294" t="inlineStr">
        <is>
          <t>BV2620 .C57 1995</t>
        </is>
      </c>
      <c r="C294" t="inlineStr">
        <is>
          <t>0                      BV 2620000C  57          1995</t>
        </is>
      </c>
      <c r="D294" t="inlineStr">
        <is>
          <t>The politics of conversion : missionary Protestantism and the Jews in Prussia, 1728-1941 / Christopher M. Clark.</t>
        </is>
      </c>
      <c r="F294" t="inlineStr">
        <is>
          <t>No</t>
        </is>
      </c>
      <c r="G294" t="inlineStr">
        <is>
          <t>1</t>
        </is>
      </c>
      <c r="H294" t="inlineStr">
        <is>
          <t>No</t>
        </is>
      </c>
      <c r="I294" t="inlineStr">
        <is>
          <t>No</t>
        </is>
      </c>
      <c r="J294" t="inlineStr">
        <is>
          <t>0</t>
        </is>
      </c>
      <c r="K294" t="inlineStr">
        <is>
          <t>Clark, Christopher M.</t>
        </is>
      </c>
      <c r="L294" t="inlineStr">
        <is>
          <t>Oxford : Clarendon Press ; New York : Oxford University Press, 1995.</t>
        </is>
      </c>
      <c r="M294" t="inlineStr">
        <is>
          <t>1995</t>
        </is>
      </c>
      <c r="O294" t="inlineStr">
        <is>
          <t>eng</t>
        </is>
      </c>
      <c r="P294" t="inlineStr">
        <is>
          <t>enk</t>
        </is>
      </c>
      <c r="R294" t="inlineStr">
        <is>
          <t xml:space="preserve">BV </t>
        </is>
      </c>
      <c r="S294" t="n">
        <v>1</v>
      </c>
      <c r="T294" t="n">
        <v>1</v>
      </c>
      <c r="U294" t="inlineStr">
        <is>
          <t>2004-03-02</t>
        </is>
      </c>
      <c r="V294" t="inlineStr">
        <is>
          <t>2004-03-02</t>
        </is>
      </c>
      <c r="W294" t="inlineStr">
        <is>
          <t>2004-03-02</t>
        </is>
      </c>
      <c r="X294" t="inlineStr">
        <is>
          <t>2004-03-02</t>
        </is>
      </c>
      <c r="Y294" t="n">
        <v>265</v>
      </c>
      <c r="Z294" t="n">
        <v>204</v>
      </c>
      <c r="AA294" t="n">
        <v>207</v>
      </c>
      <c r="AB294" t="n">
        <v>2</v>
      </c>
      <c r="AC294" t="n">
        <v>2</v>
      </c>
      <c r="AD294" t="n">
        <v>9</v>
      </c>
      <c r="AE294" t="n">
        <v>9</v>
      </c>
      <c r="AF294" t="n">
        <v>1</v>
      </c>
      <c r="AG294" t="n">
        <v>1</v>
      </c>
      <c r="AH294" t="n">
        <v>4</v>
      </c>
      <c r="AI294" t="n">
        <v>4</v>
      </c>
      <c r="AJ294" t="n">
        <v>6</v>
      </c>
      <c r="AK294" t="n">
        <v>6</v>
      </c>
      <c r="AL294" t="n">
        <v>1</v>
      </c>
      <c r="AM294" t="n">
        <v>1</v>
      </c>
      <c r="AN294" t="n">
        <v>0</v>
      </c>
      <c r="AO294" t="n">
        <v>0</v>
      </c>
      <c r="AP294" t="inlineStr">
        <is>
          <t>No</t>
        </is>
      </c>
      <c r="AQ294" t="inlineStr">
        <is>
          <t>Yes</t>
        </is>
      </c>
      <c r="AR294">
        <f>HYPERLINK("http://catalog.hathitrust.org/Record/002977560","HathiTrust Record")</f>
        <v/>
      </c>
      <c r="AS294">
        <f>HYPERLINK("https://creighton-primo.hosted.exlibrisgroup.com/primo-explore/search?tab=default_tab&amp;search_scope=EVERYTHING&amp;vid=01CRU&amp;lang=en_US&amp;offset=0&amp;query=any,contains,991004232819702656","Catalog Record")</f>
        <v/>
      </c>
      <c r="AT294">
        <f>HYPERLINK("http://www.worldcat.org/oclc/32282890","WorldCat Record")</f>
        <v/>
      </c>
      <c r="AU294" t="inlineStr">
        <is>
          <t>334952846:eng</t>
        </is>
      </c>
      <c r="AV294" t="inlineStr">
        <is>
          <t>32282890</t>
        </is>
      </c>
      <c r="AW294" t="inlineStr">
        <is>
          <t>991004232819702656</t>
        </is>
      </c>
      <c r="AX294" t="inlineStr">
        <is>
          <t>991004232819702656</t>
        </is>
      </c>
      <c r="AY294" t="inlineStr">
        <is>
          <t>2267838180002656</t>
        </is>
      </c>
      <c r="AZ294" t="inlineStr">
        <is>
          <t>BOOK</t>
        </is>
      </c>
      <c r="BB294" t="inlineStr">
        <is>
          <t>9780198204565</t>
        </is>
      </c>
      <c r="BC294" t="inlineStr">
        <is>
          <t>32285004891346</t>
        </is>
      </c>
      <c r="BD294" t="inlineStr">
        <is>
          <t>893349767</t>
        </is>
      </c>
    </row>
    <row r="295">
      <c r="A295" t="inlineStr">
        <is>
          <t>No</t>
        </is>
      </c>
      <c r="B295" t="inlineStr">
        <is>
          <t>BV2620 .D3 1943</t>
        </is>
      </c>
      <c r="C295" t="inlineStr">
        <is>
          <t>0                      BV 2620000D  3           1943</t>
        </is>
      </c>
      <c r="D295" t="inlineStr">
        <is>
          <t>Our friends, the Jews ; or, the confessions of a proselytizer / by Arthur Day.</t>
        </is>
      </c>
      <c r="F295" t="inlineStr">
        <is>
          <t>No</t>
        </is>
      </c>
      <c r="G295" t="inlineStr">
        <is>
          <t>1</t>
        </is>
      </c>
      <c r="H295" t="inlineStr">
        <is>
          <t>No</t>
        </is>
      </c>
      <c r="I295" t="inlineStr">
        <is>
          <t>No</t>
        </is>
      </c>
      <c r="J295" t="inlineStr">
        <is>
          <t>0</t>
        </is>
      </c>
      <c r="K295" t="inlineStr">
        <is>
          <t>Day, A. F. (Arthur Francis), 1866-</t>
        </is>
      </c>
      <c r="L295" t="inlineStr">
        <is>
          <t>London : Burns, Oates and Washbourne Ltd., [1943]</t>
        </is>
      </c>
      <c r="M295" t="inlineStr">
        <is>
          <t>1943</t>
        </is>
      </c>
      <c r="O295" t="inlineStr">
        <is>
          <t>eng</t>
        </is>
      </c>
      <c r="P295" t="inlineStr">
        <is>
          <t xml:space="preserve">xx </t>
        </is>
      </c>
      <c r="R295" t="inlineStr">
        <is>
          <t xml:space="preserve">BV </t>
        </is>
      </c>
      <c r="S295" t="n">
        <v>1</v>
      </c>
      <c r="T295" t="n">
        <v>1</v>
      </c>
      <c r="U295" t="inlineStr">
        <is>
          <t>1996-06-07</t>
        </is>
      </c>
      <c r="V295" t="inlineStr">
        <is>
          <t>1996-06-07</t>
        </is>
      </c>
      <c r="W295" t="inlineStr">
        <is>
          <t>1992-02-06</t>
        </is>
      </c>
      <c r="X295" t="inlineStr">
        <is>
          <t>1992-02-06</t>
        </is>
      </c>
      <c r="Y295" t="n">
        <v>45</v>
      </c>
      <c r="Z295" t="n">
        <v>26</v>
      </c>
      <c r="AA295" t="n">
        <v>27</v>
      </c>
      <c r="AB295" t="n">
        <v>1</v>
      </c>
      <c r="AC295" t="n">
        <v>1</v>
      </c>
      <c r="AD295" t="n">
        <v>6</v>
      </c>
      <c r="AE295" t="n">
        <v>6</v>
      </c>
      <c r="AF295" t="n">
        <v>1</v>
      </c>
      <c r="AG295" t="n">
        <v>1</v>
      </c>
      <c r="AH295" t="n">
        <v>2</v>
      </c>
      <c r="AI295" t="n">
        <v>2</v>
      </c>
      <c r="AJ295" t="n">
        <v>4</v>
      </c>
      <c r="AK295" t="n">
        <v>4</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HYPERLINK("https://creighton-primo.hosted.exlibrisgroup.com/primo-explore/search?tab=default_tab&amp;search_scope=EVERYTHING&amp;vid=01CRU&amp;lang=en_US&amp;offset=0&amp;query=any,contains,991003077329702656","Catalog Record")</f>
        <v/>
      </c>
      <c r="AT295">
        <f>HYPERLINK("http://www.worldcat.org/oclc/630062","WorldCat Record")</f>
        <v/>
      </c>
      <c r="AU295" t="inlineStr">
        <is>
          <t>372823458:eng</t>
        </is>
      </c>
      <c r="AV295" t="inlineStr">
        <is>
          <t>630062</t>
        </is>
      </c>
      <c r="AW295" t="inlineStr">
        <is>
          <t>991003077329702656</t>
        </is>
      </c>
      <c r="AX295" t="inlineStr">
        <is>
          <t>991003077329702656</t>
        </is>
      </c>
      <c r="AY295" t="inlineStr">
        <is>
          <t>2262358570002656</t>
        </is>
      </c>
      <c r="AZ295" t="inlineStr">
        <is>
          <t>BOOK</t>
        </is>
      </c>
      <c r="BC295" t="inlineStr">
        <is>
          <t>32285000928142</t>
        </is>
      </c>
      <c r="BD295" t="inlineStr">
        <is>
          <t>893428419</t>
        </is>
      </c>
    </row>
    <row r="296">
      <c r="A296" t="inlineStr">
        <is>
          <t>No</t>
        </is>
      </c>
      <c r="B296" t="inlineStr">
        <is>
          <t>BV2625 .K43 1988</t>
        </is>
      </c>
      <c r="C296" t="inlineStr">
        <is>
          <t>0                      BV 2625000K  43          1988</t>
        </is>
      </c>
      <c r="D296" t="inlineStr">
        <is>
          <t>Crusade and mission : European approaches toward the Muslims / Benjamin Z. Kedar.</t>
        </is>
      </c>
      <c r="F296" t="inlineStr">
        <is>
          <t>No</t>
        </is>
      </c>
      <c r="G296" t="inlineStr">
        <is>
          <t>1</t>
        </is>
      </c>
      <c r="H296" t="inlineStr">
        <is>
          <t>No</t>
        </is>
      </c>
      <c r="I296" t="inlineStr">
        <is>
          <t>No</t>
        </is>
      </c>
      <c r="J296" t="inlineStr">
        <is>
          <t>0</t>
        </is>
      </c>
      <c r="K296" t="inlineStr">
        <is>
          <t>Ḳedar, B. Z.</t>
        </is>
      </c>
      <c r="L296" t="inlineStr">
        <is>
          <t>Princeton, N.J. : Princeton University Press, 1988, c1984.</t>
        </is>
      </c>
      <c r="M296" t="inlineStr">
        <is>
          <t>1988</t>
        </is>
      </c>
      <c r="O296" t="inlineStr">
        <is>
          <t>eng</t>
        </is>
      </c>
      <c r="P296" t="inlineStr">
        <is>
          <t xml:space="preserve">xx </t>
        </is>
      </c>
      <c r="R296" t="inlineStr">
        <is>
          <t xml:space="preserve">BV </t>
        </is>
      </c>
      <c r="S296" t="n">
        <v>2</v>
      </c>
      <c r="T296" t="n">
        <v>2</v>
      </c>
      <c r="U296" t="inlineStr">
        <is>
          <t>2003-10-27</t>
        </is>
      </c>
      <c r="V296" t="inlineStr">
        <is>
          <t>2003-10-27</t>
        </is>
      </c>
      <c r="W296" t="inlineStr">
        <is>
          <t>1995-05-06</t>
        </is>
      </c>
      <c r="X296" t="inlineStr">
        <is>
          <t>1995-05-06</t>
        </is>
      </c>
      <c r="Y296" t="n">
        <v>58</v>
      </c>
      <c r="Z296" t="n">
        <v>42</v>
      </c>
      <c r="AA296" t="n">
        <v>841</v>
      </c>
      <c r="AB296" t="n">
        <v>1</v>
      </c>
      <c r="AC296" t="n">
        <v>6</v>
      </c>
      <c r="AD296" t="n">
        <v>1</v>
      </c>
      <c r="AE296" t="n">
        <v>34</v>
      </c>
      <c r="AF296" t="n">
        <v>1</v>
      </c>
      <c r="AG296" t="n">
        <v>14</v>
      </c>
      <c r="AH296" t="n">
        <v>0</v>
      </c>
      <c r="AI296" t="n">
        <v>9</v>
      </c>
      <c r="AJ296" t="n">
        <v>0</v>
      </c>
      <c r="AK296" t="n">
        <v>17</v>
      </c>
      <c r="AL296" t="n">
        <v>0</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HYPERLINK("https://creighton-primo.hosted.exlibrisgroup.com/primo-explore/search?tab=default_tab&amp;search_scope=EVERYTHING&amp;vid=01CRU&amp;lang=en_US&amp;offset=0&amp;query=any,contains,991001495489702656","Catalog Record")</f>
        <v/>
      </c>
      <c r="AT296">
        <f>HYPERLINK("http://www.worldcat.org/oclc/19746504","WorldCat Record")</f>
        <v/>
      </c>
      <c r="AU296" t="inlineStr">
        <is>
          <t>42506547:eng</t>
        </is>
      </c>
      <c r="AV296" t="inlineStr">
        <is>
          <t>19746504</t>
        </is>
      </c>
      <c r="AW296" t="inlineStr">
        <is>
          <t>991001495489702656</t>
        </is>
      </c>
      <c r="AX296" t="inlineStr">
        <is>
          <t>991001495489702656</t>
        </is>
      </c>
      <c r="AY296" t="inlineStr">
        <is>
          <t>2263685920002656</t>
        </is>
      </c>
      <c r="AZ296" t="inlineStr">
        <is>
          <t>BOOK</t>
        </is>
      </c>
      <c r="BC296" t="inlineStr">
        <is>
          <t>32285002055274</t>
        </is>
      </c>
      <c r="BD296" t="inlineStr">
        <is>
          <t>893621427</t>
        </is>
      </c>
    </row>
    <row r="297">
      <c r="A297" t="inlineStr">
        <is>
          <t>No</t>
        </is>
      </c>
      <c r="B297" t="inlineStr">
        <is>
          <t>BV2695.E4 C37 1987</t>
        </is>
      </c>
      <c r="C297" t="inlineStr">
        <is>
          <t>0                      BV 2695000E  4                  C  37          1987</t>
        </is>
      </c>
      <c r="D297" t="inlineStr">
        <is>
          <t>Together a new people : pastoral statement on migrants and refugees.</t>
        </is>
      </c>
      <c r="F297" t="inlineStr">
        <is>
          <t>No</t>
        </is>
      </c>
      <c r="G297" t="inlineStr">
        <is>
          <t>1</t>
        </is>
      </c>
      <c r="H297" t="inlineStr">
        <is>
          <t>No</t>
        </is>
      </c>
      <c r="I297" t="inlineStr">
        <is>
          <t>No</t>
        </is>
      </c>
      <c r="J297" t="inlineStr">
        <is>
          <t>0</t>
        </is>
      </c>
      <c r="K297" t="inlineStr">
        <is>
          <t>Catholic Church. National Conference of Catholic Bishops. Committee on Migration and Tourism.</t>
        </is>
      </c>
      <c r="L297" t="inlineStr">
        <is>
          <t>Washington, D.C. : Office of Publishing and Promotion Services, United States Catholic Conference, c1987.</t>
        </is>
      </c>
      <c r="M297" t="inlineStr">
        <is>
          <t>1987</t>
        </is>
      </c>
      <c r="O297" t="inlineStr">
        <is>
          <t>eng</t>
        </is>
      </c>
      <c r="P297" t="inlineStr">
        <is>
          <t>dcu</t>
        </is>
      </c>
      <c r="R297" t="inlineStr">
        <is>
          <t xml:space="preserve">BV </t>
        </is>
      </c>
      <c r="S297" t="n">
        <v>1</v>
      </c>
      <c r="T297" t="n">
        <v>1</v>
      </c>
      <c r="U297" t="inlineStr">
        <is>
          <t>2010-03-09</t>
        </is>
      </c>
      <c r="V297" t="inlineStr">
        <is>
          <t>2010-03-09</t>
        </is>
      </c>
      <c r="W297" t="inlineStr">
        <is>
          <t>1992-02-10</t>
        </is>
      </c>
      <c r="X297" t="inlineStr">
        <is>
          <t>1992-02-10</t>
        </is>
      </c>
      <c r="Y297" t="n">
        <v>97</v>
      </c>
      <c r="Z297" t="n">
        <v>88</v>
      </c>
      <c r="AA297" t="n">
        <v>90</v>
      </c>
      <c r="AB297" t="n">
        <v>1</v>
      </c>
      <c r="AC297" t="n">
        <v>1</v>
      </c>
      <c r="AD297" t="n">
        <v>13</v>
      </c>
      <c r="AE297" t="n">
        <v>13</v>
      </c>
      <c r="AF297" t="n">
        <v>3</v>
      </c>
      <c r="AG297" t="n">
        <v>3</v>
      </c>
      <c r="AH297" t="n">
        <v>3</v>
      </c>
      <c r="AI297" t="n">
        <v>3</v>
      </c>
      <c r="AJ297" t="n">
        <v>12</v>
      </c>
      <c r="AK297" t="n">
        <v>12</v>
      </c>
      <c r="AL297" t="n">
        <v>0</v>
      </c>
      <c r="AM297" t="n">
        <v>0</v>
      </c>
      <c r="AN297" t="n">
        <v>0</v>
      </c>
      <c r="AO297" t="n">
        <v>0</v>
      </c>
      <c r="AP297" t="inlineStr">
        <is>
          <t>No</t>
        </is>
      </c>
      <c r="AQ297" t="inlineStr">
        <is>
          <t>Yes</t>
        </is>
      </c>
      <c r="AR297">
        <f>HYPERLINK("http://catalog.hathitrust.org/Record/101542112","HathiTrust Record")</f>
        <v/>
      </c>
      <c r="AS297">
        <f>HYPERLINK("https://creighton-primo.hosted.exlibrisgroup.com/primo-explore/search?tab=default_tab&amp;search_scope=EVERYTHING&amp;vid=01CRU&amp;lang=en_US&amp;offset=0&amp;query=any,contains,991001044759702656","Catalog Record")</f>
        <v/>
      </c>
      <c r="AT297">
        <f>HYPERLINK("http://www.worldcat.org/oclc/17209340","WorldCat Record")</f>
        <v/>
      </c>
      <c r="AU297" t="inlineStr">
        <is>
          <t>15544281:eng</t>
        </is>
      </c>
      <c r="AV297" t="inlineStr">
        <is>
          <t>17209340</t>
        </is>
      </c>
      <c r="AW297" t="inlineStr">
        <is>
          <t>991001044759702656</t>
        </is>
      </c>
      <c r="AX297" t="inlineStr">
        <is>
          <t>991001044759702656</t>
        </is>
      </c>
      <c r="AY297" t="inlineStr">
        <is>
          <t>2265379220002656</t>
        </is>
      </c>
      <c r="AZ297" t="inlineStr">
        <is>
          <t>BOOK</t>
        </is>
      </c>
      <c r="BB297" t="inlineStr">
        <is>
          <t>9781555861476</t>
        </is>
      </c>
      <c r="BC297" t="inlineStr">
        <is>
          <t>32285000928209</t>
        </is>
      </c>
      <c r="BD297" t="inlineStr">
        <is>
          <t>893237830</t>
        </is>
      </c>
    </row>
    <row r="298">
      <c r="A298" t="inlineStr">
        <is>
          <t>No</t>
        </is>
      </c>
      <c r="B298" t="inlineStr">
        <is>
          <t>BV2695.T6 C3</t>
        </is>
      </c>
      <c r="C298" t="inlineStr">
        <is>
          <t>0                      BV 2695000T  6                  C  3</t>
        </is>
      </c>
      <c r="D298" t="inlineStr">
        <is>
          <t>Letter to episcopal conferences on the Church and people on the move : May 4, 1978 / Pontifical Commission for the Pastoral Care of Migrant and Itinerant Peoples. --</t>
        </is>
      </c>
      <c r="F298" t="inlineStr">
        <is>
          <t>No</t>
        </is>
      </c>
      <c r="G298" t="inlineStr">
        <is>
          <t>1</t>
        </is>
      </c>
      <c r="H298" t="inlineStr">
        <is>
          <t>No</t>
        </is>
      </c>
      <c r="I298" t="inlineStr">
        <is>
          <t>No</t>
        </is>
      </c>
      <c r="J298" t="inlineStr">
        <is>
          <t>0</t>
        </is>
      </c>
      <c r="K298" t="inlineStr">
        <is>
          <t>Catholic Church. Pontificia Commissio de Spirituali Migratorum atque Itinerantium Cura.</t>
        </is>
      </c>
      <c r="L298" t="inlineStr">
        <is>
          <t>Washington : United States Catholic Conference, 1978.</t>
        </is>
      </c>
      <c r="M298" t="inlineStr">
        <is>
          <t>1978</t>
        </is>
      </c>
      <c r="O298" t="inlineStr">
        <is>
          <t>eng</t>
        </is>
      </c>
      <c r="P298" t="inlineStr">
        <is>
          <t>dcu</t>
        </is>
      </c>
      <c r="R298" t="inlineStr">
        <is>
          <t xml:space="preserve">BV </t>
        </is>
      </c>
      <c r="S298" t="n">
        <v>1</v>
      </c>
      <c r="T298" t="n">
        <v>1</v>
      </c>
      <c r="U298" t="inlineStr">
        <is>
          <t>2010-03-09</t>
        </is>
      </c>
      <c r="V298" t="inlineStr">
        <is>
          <t>2010-03-09</t>
        </is>
      </c>
      <c r="W298" t="inlineStr">
        <is>
          <t>1992-02-10</t>
        </is>
      </c>
      <c r="X298" t="inlineStr">
        <is>
          <t>1992-02-10</t>
        </is>
      </c>
      <c r="Y298" t="n">
        <v>47</v>
      </c>
      <c r="Z298" t="n">
        <v>43</v>
      </c>
      <c r="AA298" t="n">
        <v>45</v>
      </c>
      <c r="AB298" t="n">
        <v>1</v>
      </c>
      <c r="AC298" t="n">
        <v>1</v>
      </c>
      <c r="AD298" t="n">
        <v>9</v>
      </c>
      <c r="AE298" t="n">
        <v>9</v>
      </c>
      <c r="AF298" t="n">
        <v>0</v>
      </c>
      <c r="AG298" t="n">
        <v>0</v>
      </c>
      <c r="AH298" t="n">
        <v>5</v>
      </c>
      <c r="AI298" t="n">
        <v>5</v>
      </c>
      <c r="AJ298" t="n">
        <v>7</v>
      </c>
      <c r="AK298" t="n">
        <v>7</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HYPERLINK("https://creighton-primo.hosted.exlibrisgroup.com/primo-explore/search?tab=default_tab&amp;search_scope=EVERYTHING&amp;vid=01CRU&amp;lang=en_US&amp;offset=0&amp;query=any,contains,991004623559702656","Catalog Record")</f>
        <v/>
      </c>
      <c r="AT298">
        <f>HYPERLINK("http://www.worldcat.org/oclc/4318501","WorldCat Record")</f>
        <v/>
      </c>
      <c r="AU298" t="inlineStr">
        <is>
          <t>1809910881:eng</t>
        </is>
      </c>
      <c r="AV298" t="inlineStr">
        <is>
          <t>4318501</t>
        </is>
      </c>
      <c r="AW298" t="inlineStr">
        <is>
          <t>991004623559702656</t>
        </is>
      </c>
      <c r="AX298" t="inlineStr">
        <is>
          <t>991004623559702656</t>
        </is>
      </c>
      <c r="AY298" t="inlineStr">
        <is>
          <t>2269871520002656</t>
        </is>
      </c>
      <c r="AZ298" t="inlineStr">
        <is>
          <t>BOOK</t>
        </is>
      </c>
      <c r="BC298" t="inlineStr">
        <is>
          <t>32285000928217</t>
        </is>
      </c>
      <c r="BD298" t="inlineStr">
        <is>
          <t>893519857</t>
        </is>
      </c>
    </row>
    <row r="299">
      <c r="A299" t="inlineStr">
        <is>
          <t>No</t>
        </is>
      </c>
      <c r="B299" t="inlineStr">
        <is>
          <t>BV270 .B3 1982</t>
        </is>
      </c>
      <c r="C299" t="inlineStr">
        <is>
          <t>0                      BV 0270000B  3           1982</t>
        </is>
      </c>
      <c r="D299" t="inlineStr">
        <is>
          <t>Prayers for help and healing / William Barclay.</t>
        </is>
      </c>
      <c r="F299" t="inlineStr">
        <is>
          <t>No</t>
        </is>
      </c>
      <c r="G299" t="inlineStr">
        <is>
          <t>1</t>
        </is>
      </c>
      <c r="H299" t="inlineStr">
        <is>
          <t>No</t>
        </is>
      </c>
      <c r="I299" t="inlineStr">
        <is>
          <t>No</t>
        </is>
      </c>
      <c r="J299" t="inlineStr">
        <is>
          <t>0</t>
        </is>
      </c>
      <c r="K299" t="inlineStr">
        <is>
          <t>Barclay, William, 1907-1978.</t>
        </is>
      </c>
      <c r="L299" t="inlineStr">
        <is>
          <t>San Francisco : Harper &amp; Row, [1982] c1968.</t>
        </is>
      </c>
      <c r="M299" t="inlineStr">
        <is>
          <t>1982</t>
        </is>
      </c>
      <c r="O299" t="inlineStr">
        <is>
          <t>eng</t>
        </is>
      </c>
      <c r="P299" t="inlineStr">
        <is>
          <t>cau</t>
        </is>
      </c>
      <c r="R299" t="inlineStr">
        <is>
          <t xml:space="preserve">BV </t>
        </is>
      </c>
      <c r="S299" t="n">
        <v>1</v>
      </c>
      <c r="T299" t="n">
        <v>1</v>
      </c>
      <c r="U299" t="inlineStr">
        <is>
          <t>2010-07-01</t>
        </is>
      </c>
      <c r="V299" t="inlineStr">
        <is>
          <t>2010-07-01</t>
        </is>
      </c>
      <c r="W299" t="inlineStr">
        <is>
          <t>2010-07-01</t>
        </is>
      </c>
      <c r="X299" t="inlineStr">
        <is>
          <t>2010-07-01</t>
        </is>
      </c>
      <c r="Y299" t="n">
        <v>15</v>
      </c>
      <c r="Z299" t="n">
        <v>15</v>
      </c>
      <c r="AA299" t="n">
        <v>192</v>
      </c>
      <c r="AB299" t="n">
        <v>1</v>
      </c>
      <c r="AC299" t="n">
        <v>2</v>
      </c>
      <c r="AD299" t="n">
        <v>1</v>
      </c>
      <c r="AE299" t="n">
        <v>8</v>
      </c>
      <c r="AF299" t="n">
        <v>1</v>
      </c>
      <c r="AG299" t="n">
        <v>4</v>
      </c>
      <c r="AH299" t="n">
        <v>0</v>
      </c>
      <c r="AI299" t="n">
        <v>2</v>
      </c>
      <c r="AJ299" t="n">
        <v>1</v>
      </c>
      <c r="AK299" t="n">
        <v>2</v>
      </c>
      <c r="AL299" t="n">
        <v>0</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HYPERLINK("https://creighton-primo.hosted.exlibrisgroup.com/primo-explore/search?tab=default_tab&amp;search_scope=EVERYTHING&amp;vid=01CRU&amp;lang=en_US&amp;offset=0&amp;query=any,contains,991000017599702656","Catalog Record")</f>
        <v/>
      </c>
      <c r="AT299">
        <f>HYPERLINK("http://www.worldcat.org/oclc/8451141","WorldCat Record")</f>
        <v/>
      </c>
      <c r="AU299" t="inlineStr">
        <is>
          <t>1139558:eng</t>
        </is>
      </c>
      <c r="AV299" t="inlineStr">
        <is>
          <t>8451141</t>
        </is>
      </c>
      <c r="AW299" t="inlineStr">
        <is>
          <t>991000017599702656</t>
        </is>
      </c>
      <c r="AX299" t="inlineStr">
        <is>
          <t>991000017599702656</t>
        </is>
      </c>
      <c r="AY299" t="inlineStr">
        <is>
          <t>2266091200002656</t>
        </is>
      </c>
      <c r="AZ299" t="inlineStr">
        <is>
          <t>BOOK</t>
        </is>
      </c>
      <c r="BB299" t="inlineStr">
        <is>
          <t>9780060604813</t>
        </is>
      </c>
      <c r="BC299" t="inlineStr">
        <is>
          <t>32285005589451</t>
        </is>
      </c>
      <c r="BD299" t="inlineStr">
        <is>
          <t>893871328</t>
        </is>
      </c>
    </row>
    <row r="300">
      <c r="A300" t="inlineStr">
        <is>
          <t>No</t>
        </is>
      </c>
      <c r="B300" t="inlineStr">
        <is>
          <t>BV2750 .C45 2002</t>
        </is>
      </c>
      <c r="C300" t="inlineStr">
        <is>
          <t>0                      BV 2750000C  45          2002</t>
        </is>
      </c>
      <c r="D300" t="inlineStr">
        <is>
          <t>Christian missionaries &amp; the state in the Third World / edited by Holger Brent Hansen &amp; Michael Twaddle.</t>
        </is>
      </c>
      <c r="F300" t="inlineStr">
        <is>
          <t>No</t>
        </is>
      </c>
      <c r="G300" t="inlineStr">
        <is>
          <t>1</t>
        </is>
      </c>
      <c r="H300" t="inlineStr">
        <is>
          <t>No</t>
        </is>
      </c>
      <c r="I300" t="inlineStr">
        <is>
          <t>No</t>
        </is>
      </c>
      <c r="J300" t="inlineStr">
        <is>
          <t>0</t>
        </is>
      </c>
      <c r="L300" t="inlineStr">
        <is>
          <t>Oxford : James Currey ; Athens, Ohio : Ohio University Press, 2002.</t>
        </is>
      </c>
      <c r="M300" t="inlineStr">
        <is>
          <t>2002</t>
        </is>
      </c>
      <c r="O300" t="inlineStr">
        <is>
          <t>eng</t>
        </is>
      </c>
      <c r="P300" t="inlineStr">
        <is>
          <t>enk</t>
        </is>
      </c>
      <c r="R300" t="inlineStr">
        <is>
          <t xml:space="preserve">BV </t>
        </is>
      </c>
      <c r="S300" t="n">
        <v>7</v>
      </c>
      <c r="T300" t="n">
        <v>7</v>
      </c>
      <c r="U300" t="inlineStr">
        <is>
          <t>2006-11-17</t>
        </is>
      </c>
      <c r="V300" t="inlineStr">
        <is>
          <t>2006-11-17</t>
        </is>
      </c>
      <c r="W300" t="inlineStr">
        <is>
          <t>2002-09-24</t>
        </is>
      </c>
      <c r="X300" t="inlineStr">
        <is>
          <t>2002-09-24</t>
        </is>
      </c>
      <c r="Y300" t="n">
        <v>408</v>
      </c>
      <c r="Z300" t="n">
        <v>316</v>
      </c>
      <c r="AA300" t="n">
        <v>318</v>
      </c>
      <c r="AB300" t="n">
        <v>3</v>
      </c>
      <c r="AC300" t="n">
        <v>3</v>
      </c>
      <c r="AD300" t="n">
        <v>20</v>
      </c>
      <c r="AE300" t="n">
        <v>20</v>
      </c>
      <c r="AF300" t="n">
        <v>9</v>
      </c>
      <c r="AG300" t="n">
        <v>9</v>
      </c>
      <c r="AH300" t="n">
        <v>6</v>
      </c>
      <c r="AI300" t="n">
        <v>6</v>
      </c>
      <c r="AJ300" t="n">
        <v>8</v>
      </c>
      <c r="AK300" t="n">
        <v>8</v>
      </c>
      <c r="AL300" t="n">
        <v>2</v>
      </c>
      <c r="AM300" t="n">
        <v>2</v>
      </c>
      <c r="AN300" t="n">
        <v>0</v>
      </c>
      <c r="AO300" t="n">
        <v>0</v>
      </c>
      <c r="AP300" t="inlineStr">
        <is>
          <t>No</t>
        </is>
      </c>
      <c r="AQ300" t="inlineStr">
        <is>
          <t>Yes</t>
        </is>
      </c>
      <c r="AR300">
        <f>HYPERLINK("http://catalog.hathitrust.org/Record/004228156","HathiTrust Record")</f>
        <v/>
      </c>
      <c r="AS300">
        <f>HYPERLINK("https://creighton-primo.hosted.exlibrisgroup.com/primo-explore/search?tab=default_tab&amp;search_scope=EVERYTHING&amp;vid=01CRU&amp;lang=en_US&amp;offset=0&amp;query=any,contains,991003865949702656","Catalog Record")</f>
        <v/>
      </c>
      <c r="AT300">
        <f>HYPERLINK("http://www.worldcat.org/oclc/47824041","WorldCat Record")</f>
        <v/>
      </c>
      <c r="AU300" t="inlineStr">
        <is>
          <t>366195531:eng</t>
        </is>
      </c>
      <c r="AV300" t="inlineStr">
        <is>
          <t>47824041</t>
        </is>
      </c>
      <c r="AW300" t="inlineStr">
        <is>
          <t>991003865949702656</t>
        </is>
      </c>
      <c r="AX300" t="inlineStr">
        <is>
          <t>991003865949702656</t>
        </is>
      </c>
      <c r="AY300" t="inlineStr">
        <is>
          <t>2262918400002656</t>
        </is>
      </c>
      <c r="AZ300" t="inlineStr">
        <is>
          <t>BOOK</t>
        </is>
      </c>
      <c r="BB300" t="inlineStr">
        <is>
          <t>9780821414255</t>
        </is>
      </c>
      <c r="BC300" t="inlineStr">
        <is>
          <t>32285004648332</t>
        </is>
      </c>
      <c r="BD300" t="inlineStr">
        <is>
          <t>893423068</t>
        </is>
      </c>
    </row>
    <row r="301">
      <c r="A301" t="inlineStr">
        <is>
          <t>No</t>
        </is>
      </c>
      <c r="B301" t="inlineStr">
        <is>
          <t>BV2765 .G62 1971</t>
        </is>
      </c>
      <c r="C301" t="inlineStr">
        <is>
          <t>0                      BV 2765000G  62          1971</t>
        </is>
      </c>
      <c r="D301" t="inlineStr">
        <is>
          <t>Home missions on the American frontier, with particular reference to the American Home Missionary Society / by Colin Brummitt Goodykoontz.</t>
        </is>
      </c>
      <c r="F301" t="inlineStr">
        <is>
          <t>No</t>
        </is>
      </c>
      <c r="G301" t="inlineStr">
        <is>
          <t>1</t>
        </is>
      </c>
      <c r="H301" t="inlineStr">
        <is>
          <t>No</t>
        </is>
      </c>
      <c r="I301" t="inlineStr">
        <is>
          <t>No</t>
        </is>
      </c>
      <c r="J301" t="inlineStr">
        <is>
          <t>0</t>
        </is>
      </c>
      <c r="K301" t="inlineStr">
        <is>
          <t>Goodykoontz, Colin Brummitt, 1885-1958.</t>
        </is>
      </c>
      <c r="L301" t="inlineStr">
        <is>
          <t>New York, Octagon Books, 1971 [c1939]</t>
        </is>
      </c>
      <c r="M301" t="inlineStr">
        <is>
          <t>1971</t>
        </is>
      </c>
      <c r="O301" t="inlineStr">
        <is>
          <t>eng</t>
        </is>
      </c>
      <c r="P301" t="inlineStr">
        <is>
          <t>nyu</t>
        </is>
      </c>
      <c r="R301" t="inlineStr">
        <is>
          <t xml:space="preserve">BV </t>
        </is>
      </c>
      <c r="S301" t="n">
        <v>3</v>
      </c>
      <c r="T301" t="n">
        <v>3</v>
      </c>
      <c r="U301" t="inlineStr">
        <is>
          <t>1992-11-10</t>
        </is>
      </c>
      <c r="V301" t="inlineStr">
        <is>
          <t>1992-11-10</t>
        </is>
      </c>
      <c r="W301" t="inlineStr">
        <is>
          <t>1992-02-10</t>
        </is>
      </c>
      <c r="X301" t="inlineStr">
        <is>
          <t>1992-02-10</t>
        </is>
      </c>
      <c r="Y301" t="n">
        <v>304</v>
      </c>
      <c r="Z301" t="n">
        <v>284</v>
      </c>
      <c r="AA301" t="n">
        <v>637</v>
      </c>
      <c r="AB301" t="n">
        <v>2</v>
      </c>
      <c r="AC301" t="n">
        <v>5</v>
      </c>
      <c r="AD301" t="n">
        <v>12</v>
      </c>
      <c r="AE301" t="n">
        <v>21</v>
      </c>
      <c r="AF301" t="n">
        <v>4</v>
      </c>
      <c r="AG301" t="n">
        <v>7</v>
      </c>
      <c r="AH301" t="n">
        <v>1</v>
      </c>
      <c r="AI301" t="n">
        <v>3</v>
      </c>
      <c r="AJ301" t="n">
        <v>7</v>
      </c>
      <c r="AK301" t="n">
        <v>10</v>
      </c>
      <c r="AL301" t="n">
        <v>1</v>
      </c>
      <c r="AM301" t="n">
        <v>4</v>
      </c>
      <c r="AN301" t="n">
        <v>0</v>
      </c>
      <c r="AO301" t="n">
        <v>0</v>
      </c>
      <c r="AP301" t="inlineStr">
        <is>
          <t>No</t>
        </is>
      </c>
      <c r="AQ301" t="inlineStr">
        <is>
          <t>Yes</t>
        </is>
      </c>
      <c r="AR301">
        <f>HYPERLINK("http://catalog.hathitrust.org/Record/004508845","HathiTrust Record")</f>
        <v/>
      </c>
      <c r="AS301">
        <f>HYPERLINK("https://creighton-primo.hosted.exlibrisgroup.com/primo-explore/search?tab=default_tab&amp;search_scope=EVERYTHING&amp;vid=01CRU&amp;lang=en_US&amp;offset=0&amp;query=any,contains,991000826869702656","Catalog Record")</f>
        <v/>
      </c>
      <c r="AT301">
        <f>HYPERLINK("http://www.worldcat.org/oclc/146406","WorldCat Record")</f>
        <v/>
      </c>
      <c r="AU301" t="inlineStr">
        <is>
          <t>1326111:eng</t>
        </is>
      </c>
      <c r="AV301" t="inlineStr">
        <is>
          <t>146406</t>
        </is>
      </c>
      <c r="AW301" t="inlineStr">
        <is>
          <t>991000826869702656</t>
        </is>
      </c>
      <c r="AX301" t="inlineStr">
        <is>
          <t>991000826869702656</t>
        </is>
      </c>
      <c r="AY301" t="inlineStr">
        <is>
          <t>2256349530002656</t>
        </is>
      </c>
      <c r="AZ301" t="inlineStr">
        <is>
          <t>BOOK</t>
        </is>
      </c>
      <c r="BC301" t="inlineStr">
        <is>
          <t>32285000928225</t>
        </is>
      </c>
      <c r="BD301" t="inlineStr">
        <is>
          <t>893696205</t>
        </is>
      </c>
    </row>
    <row r="302">
      <c r="A302" t="inlineStr">
        <is>
          <t>No</t>
        </is>
      </c>
      <c r="B302" t="inlineStr">
        <is>
          <t>BV2765.5.P66 R46 1985</t>
        </is>
      </c>
      <c r="C302" t="inlineStr">
        <is>
          <t>0                      BV 2765500P  66                 R  46          1985</t>
        </is>
      </c>
      <c r="D302" t="inlineStr">
        <is>
          <t>The KNOM/Father Jim Poole story / by Louis L. Renner.</t>
        </is>
      </c>
      <c r="F302" t="inlineStr">
        <is>
          <t>No</t>
        </is>
      </c>
      <c r="G302" t="inlineStr">
        <is>
          <t>1</t>
        </is>
      </c>
      <c r="H302" t="inlineStr">
        <is>
          <t>No</t>
        </is>
      </c>
      <c r="I302" t="inlineStr">
        <is>
          <t>No</t>
        </is>
      </c>
      <c r="J302" t="inlineStr">
        <is>
          <t>0</t>
        </is>
      </c>
      <c r="K302" t="inlineStr">
        <is>
          <t>Renner, Louis L., 1926-</t>
        </is>
      </c>
      <c r="L302" t="inlineStr">
        <is>
          <t>Portland, Or. : Binford &amp; Mort Pub., 1985.</t>
        </is>
      </c>
      <c r="M302" t="inlineStr">
        <is>
          <t>1985</t>
        </is>
      </c>
      <c r="N302" t="inlineStr">
        <is>
          <t>1st ed.</t>
        </is>
      </c>
      <c r="O302" t="inlineStr">
        <is>
          <t>eng</t>
        </is>
      </c>
      <c r="P302" t="inlineStr">
        <is>
          <t>oru</t>
        </is>
      </c>
      <c r="R302" t="inlineStr">
        <is>
          <t xml:space="preserve">BV </t>
        </is>
      </c>
      <c r="S302" t="n">
        <v>2</v>
      </c>
      <c r="T302" t="n">
        <v>2</v>
      </c>
      <c r="U302" t="inlineStr">
        <is>
          <t>1992-02-20</t>
        </is>
      </c>
      <c r="V302" t="inlineStr">
        <is>
          <t>1992-02-20</t>
        </is>
      </c>
      <c r="W302" t="inlineStr">
        <is>
          <t>1992-02-10</t>
        </is>
      </c>
      <c r="X302" t="inlineStr">
        <is>
          <t>1992-02-10</t>
        </is>
      </c>
      <c r="Y302" t="n">
        <v>61</v>
      </c>
      <c r="Z302" t="n">
        <v>58</v>
      </c>
      <c r="AA302" t="n">
        <v>58</v>
      </c>
      <c r="AB302" t="n">
        <v>1</v>
      </c>
      <c r="AC302" t="n">
        <v>1</v>
      </c>
      <c r="AD302" t="n">
        <v>7</v>
      </c>
      <c r="AE302" t="n">
        <v>7</v>
      </c>
      <c r="AF302" t="n">
        <v>3</v>
      </c>
      <c r="AG302" t="n">
        <v>3</v>
      </c>
      <c r="AH302" t="n">
        <v>2</v>
      </c>
      <c r="AI302" t="n">
        <v>2</v>
      </c>
      <c r="AJ302" t="n">
        <v>7</v>
      </c>
      <c r="AK302" t="n">
        <v>7</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HYPERLINK("https://creighton-primo.hosted.exlibrisgroup.com/primo-explore/search?tab=default_tab&amp;search_scope=EVERYTHING&amp;vid=01CRU&amp;lang=en_US&amp;offset=0&amp;query=any,contains,991000799569702656","Catalog Record")</f>
        <v/>
      </c>
      <c r="AT302">
        <f>HYPERLINK("http://www.worldcat.org/oclc/13217983","WorldCat Record")</f>
        <v/>
      </c>
      <c r="AU302" t="inlineStr">
        <is>
          <t>7122552:eng</t>
        </is>
      </c>
      <c r="AV302" t="inlineStr">
        <is>
          <t>13217983</t>
        </is>
      </c>
      <c r="AW302" t="inlineStr">
        <is>
          <t>991000799569702656</t>
        </is>
      </c>
      <c r="AX302" t="inlineStr">
        <is>
          <t>991000799569702656</t>
        </is>
      </c>
      <c r="AY302" t="inlineStr">
        <is>
          <t>2259940920002656</t>
        </is>
      </c>
      <c r="AZ302" t="inlineStr">
        <is>
          <t>BOOK</t>
        </is>
      </c>
      <c r="BB302" t="inlineStr">
        <is>
          <t>9780832304446</t>
        </is>
      </c>
      <c r="BC302" t="inlineStr">
        <is>
          <t>32285000928233</t>
        </is>
      </c>
      <c r="BD302" t="inlineStr">
        <is>
          <t>893528395</t>
        </is>
      </c>
    </row>
    <row r="303">
      <c r="A303" t="inlineStr">
        <is>
          <t>No</t>
        </is>
      </c>
      <c r="B303" t="inlineStr">
        <is>
          <t>BV2783 .D4 1946</t>
        </is>
      </c>
      <c r="C303" t="inlineStr">
        <is>
          <t>0                      BV 2783000D  4           1946</t>
        </is>
      </c>
      <c r="D303" t="inlineStr">
        <is>
          <t>Friendship house / by Catherine De Hueck.</t>
        </is>
      </c>
      <c r="F303" t="inlineStr">
        <is>
          <t>No</t>
        </is>
      </c>
      <c r="G303" t="inlineStr">
        <is>
          <t>1</t>
        </is>
      </c>
      <c r="H303" t="inlineStr">
        <is>
          <t>No</t>
        </is>
      </c>
      <c r="I303" t="inlineStr">
        <is>
          <t>No</t>
        </is>
      </c>
      <c r="J303" t="inlineStr">
        <is>
          <t>0</t>
        </is>
      </c>
      <c r="K303" t="inlineStr">
        <is>
          <t>Doherty, Catherine de Hueck, 1896-1985.</t>
        </is>
      </c>
      <c r="L303" t="inlineStr">
        <is>
          <t>New York : Sheed and Ward, 1946.</t>
        </is>
      </c>
      <c r="M303" t="inlineStr">
        <is>
          <t>1946</t>
        </is>
      </c>
      <c r="O303" t="inlineStr">
        <is>
          <t>eng</t>
        </is>
      </c>
      <c r="P303" t="inlineStr">
        <is>
          <t>nyu</t>
        </is>
      </c>
      <c r="R303" t="inlineStr">
        <is>
          <t xml:space="preserve">BV </t>
        </is>
      </c>
      <c r="S303" t="n">
        <v>4</v>
      </c>
      <c r="T303" t="n">
        <v>4</v>
      </c>
      <c r="U303" t="inlineStr">
        <is>
          <t>1995-04-12</t>
        </is>
      </c>
      <c r="V303" t="inlineStr">
        <is>
          <t>1995-04-12</t>
        </is>
      </c>
      <c r="W303" t="inlineStr">
        <is>
          <t>1992-02-10</t>
        </is>
      </c>
      <c r="X303" t="inlineStr">
        <is>
          <t>1992-02-10</t>
        </is>
      </c>
      <c r="Y303" t="n">
        <v>179</v>
      </c>
      <c r="Z303" t="n">
        <v>162</v>
      </c>
      <c r="AA303" t="n">
        <v>214</v>
      </c>
      <c r="AB303" t="n">
        <v>1</v>
      </c>
      <c r="AC303" t="n">
        <v>2</v>
      </c>
      <c r="AD303" t="n">
        <v>20</v>
      </c>
      <c r="AE303" t="n">
        <v>23</v>
      </c>
      <c r="AF303" t="n">
        <v>5</v>
      </c>
      <c r="AG303" t="n">
        <v>7</v>
      </c>
      <c r="AH303" t="n">
        <v>6</v>
      </c>
      <c r="AI303" t="n">
        <v>7</v>
      </c>
      <c r="AJ303" t="n">
        <v>16</v>
      </c>
      <c r="AK303" t="n">
        <v>18</v>
      </c>
      <c r="AL303" t="n">
        <v>0</v>
      </c>
      <c r="AM303" t="n">
        <v>0</v>
      </c>
      <c r="AN303" t="n">
        <v>0</v>
      </c>
      <c r="AO303" t="n">
        <v>0</v>
      </c>
      <c r="AP303" t="inlineStr">
        <is>
          <t>No</t>
        </is>
      </c>
      <c r="AQ303" t="inlineStr">
        <is>
          <t>Yes</t>
        </is>
      </c>
      <c r="AR303">
        <f>HYPERLINK("http://catalog.hathitrust.org/Record/005792554","HathiTrust Record")</f>
        <v/>
      </c>
      <c r="AS303">
        <f>HYPERLINK("https://creighton-primo.hosted.exlibrisgroup.com/primo-explore/search?tab=default_tab&amp;search_scope=EVERYTHING&amp;vid=01CRU&amp;lang=en_US&amp;offset=0&amp;query=any,contains,991003935459702656","Catalog Record")</f>
        <v/>
      </c>
      <c r="AT303">
        <f>HYPERLINK("http://www.worldcat.org/oclc/1912287","WorldCat Record")</f>
        <v/>
      </c>
      <c r="AU303" t="inlineStr">
        <is>
          <t>28896495:eng</t>
        </is>
      </c>
      <c r="AV303" t="inlineStr">
        <is>
          <t>1912287</t>
        </is>
      </c>
      <c r="AW303" t="inlineStr">
        <is>
          <t>991003935459702656</t>
        </is>
      </c>
      <c r="AX303" t="inlineStr">
        <is>
          <t>991003935459702656</t>
        </is>
      </c>
      <c r="AY303" t="inlineStr">
        <is>
          <t>2255302380002656</t>
        </is>
      </c>
      <c r="AZ303" t="inlineStr">
        <is>
          <t>BOOK</t>
        </is>
      </c>
      <c r="BC303" t="inlineStr">
        <is>
          <t>32285000928266</t>
        </is>
      </c>
      <c r="BD303" t="inlineStr">
        <is>
          <t>893331008</t>
        </is>
      </c>
    </row>
    <row r="304">
      <c r="A304" t="inlineStr">
        <is>
          <t>No</t>
        </is>
      </c>
      <c r="B304" t="inlineStr">
        <is>
          <t>BV2788.H56 C371 1985</t>
        </is>
      </c>
      <c r="C304" t="inlineStr">
        <is>
          <t>0                      BV 2788000H  56                 C  371         1985</t>
        </is>
      </c>
      <c r="D304" t="inlineStr">
        <is>
          <t>A Blessing from God = Una Bendicibon de Dios / National Conference of Catholic Bishops.</t>
        </is>
      </c>
      <c r="F304" t="inlineStr">
        <is>
          <t>No</t>
        </is>
      </c>
      <c r="G304" t="inlineStr">
        <is>
          <t>1</t>
        </is>
      </c>
      <c r="H304" t="inlineStr">
        <is>
          <t>No</t>
        </is>
      </c>
      <c r="I304" t="inlineStr">
        <is>
          <t>No</t>
        </is>
      </c>
      <c r="J304" t="inlineStr">
        <is>
          <t>0</t>
        </is>
      </c>
      <c r="K304" t="inlineStr">
        <is>
          <t>Catholic Church. National Conference of Catholic Bishops.</t>
        </is>
      </c>
      <c r="L304" t="inlineStr">
        <is>
          <t>Washington, D.C. (1312 Massachusetts Ave., N.W., Washington 20005) : United States Catholic Conference, c1985.</t>
        </is>
      </c>
      <c r="M304" t="inlineStr">
        <is>
          <t>1985</t>
        </is>
      </c>
      <c r="O304" t="inlineStr">
        <is>
          <t>eng</t>
        </is>
      </c>
      <c r="P304" t="inlineStr">
        <is>
          <t>dcu</t>
        </is>
      </c>
      <c r="Q304" t="inlineStr">
        <is>
          <t>United States Catholic Conference. Publication ; no. 963.</t>
        </is>
      </c>
      <c r="R304" t="inlineStr">
        <is>
          <t xml:space="preserve">BV </t>
        </is>
      </c>
      <c r="S304" t="n">
        <v>1</v>
      </c>
      <c r="T304" t="n">
        <v>1</v>
      </c>
      <c r="U304" t="inlineStr">
        <is>
          <t>2005-08-17</t>
        </is>
      </c>
      <c r="V304" t="inlineStr">
        <is>
          <t>2005-08-17</t>
        </is>
      </c>
      <c r="W304" t="inlineStr">
        <is>
          <t>1992-02-10</t>
        </is>
      </c>
      <c r="X304" t="inlineStr">
        <is>
          <t>1992-02-10</t>
        </is>
      </c>
      <c r="Y304" t="n">
        <v>44</v>
      </c>
      <c r="Z304" t="n">
        <v>44</v>
      </c>
      <c r="AA304" t="n">
        <v>48</v>
      </c>
      <c r="AB304" t="n">
        <v>1</v>
      </c>
      <c r="AC304" t="n">
        <v>1</v>
      </c>
      <c r="AD304" t="n">
        <v>7</v>
      </c>
      <c r="AE304" t="n">
        <v>7</v>
      </c>
      <c r="AF304" t="n">
        <v>3</v>
      </c>
      <c r="AG304" t="n">
        <v>3</v>
      </c>
      <c r="AH304" t="n">
        <v>1</v>
      </c>
      <c r="AI304" t="n">
        <v>1</v>
      </c>
      <c r="AJ304" t="n">
        <v>6</v>
      </c>
      <c r="AK304" t="n">
        <v>6</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HYPERLINK("https://creighton-primo.hosted.exlibrisgroup.com/primo-explore/search?tab=default_tab&amp;search_scope=EVERYTHING&amp;vid=01CRU&amp;lang=en_US&amp;offset=0&amp;query=any,contains,991000735559702656","Catalog Record")</f>
        <v/>
      </c>
      <c r="AT304">
        <f>HYPERLINK("http://www.worldcat.org/oclc/12769119","WorldCat Record")</f>
        <v/>
      </c>
      <c r="AU304" t="inlineStr">
        <is>
          <t>66266019:eng</t>
        </is>
      </c>
      <c r="AV304" t="inlineStr">
        <is>
          <t>12769119</t>
        </is>
      </c>
      <c r="AW304" t="inlineStr">
        <is>
          <t>991000735559702656</t>
        </is>
      </c>
      <c r="AX304" t="inlineStr">
        <is>
          <t>991000735559702656</t>
        </is>
      </c>
      <c r="AY304" t="inlineStr">
        <is>
          <t>2267661820002656</t>
        </is>
      </c>
      <c r="AZ304" t="inlineStr">
        <is>
          <t>BOOK</t>
        </is>
      </c>
      <c r="BC304" t="inlineStr">
        <is>
          <t>32285000928282</t>
        </is>
      </c>
      <c r="BD304" t="inlineStr">
        <is>
          <t>893790804</t>
        </is>
      </c>
    </row>
    <row r="305">
      <c r="A305" t="inlineStr">
        <is>
          <t>No</t>
        </is>
      </c>
      <c r="B305" t="inlineStr">
        <is>
          <t>BV283.S3 P74 1998</t>
        </is>
      </c>
      <c r="C305" t="inlineStr">
        <is>
          <t>0                      BV 0283000S  3                  P  74          1998</t>
        </is>
      </c>
      <c r="D305" t="inlineStr">
        <is>
          <t>Prayers for the classroom / Philip A. Verhalen, editor ; foreword by Rembert G. Weakland.</t>
        </is>
      </c>
      <c r="F305" t="inlineStr">
        <is>
          <t>No</t>
        </is>
      </c>
      <c r="G305" t="inlineStr">
        <is>
          <t>1</t>
        </is>
      </c>
      <c r="H305" t="inlineStr">
        <is>
          <t>No</t>
        </is>
      </c>
      <c r="I305" t="inlineStr">
        <is>
          <t>No</t>
        </is>
      </c>
      <c r="J305" t="inlineStr">
        <is>
          <t>0</t>
        </is>
      </c>
      <c r="L305" t="inlineStr">
        <is>
          <t>Collegeville, Minn. : Liturgical Press, c1998.</t>
        </is>
      </c>
      <c r="M305" t="inlineStr">
        <is>
          <t>1998</t>
        </is>
      </c>
      <c r="O305" t="inlineStr">
        <is>
          <t>eng</t>
        </is>
      </c>
      <c r="P305" t="inlineStr">
        <is>
          <t>mnu</t>
        </is>
      </c>
      <c r="R305" t="inlineStr">
        <is>
          <t xml:space="preserve">BV </t>
        </is>
      </c>
      <c r="S305" t="n">
        <v>3</v>
      </c>
      <c r="T305" t="n">
        <v>3</v>
      </c>
      <c r="U305" t="inlineStr">
        <is>
          <t>2008-09-05</t>
        </is>
      </c>
      <c r="V305" t="inlineStr">
        <is>
          <t>2008-09-05</t>
        </is>
      </c>
      <c r="W305" t="inlineStr">
        <is>
          <t>2007-09-20</t>
        </is>
      </c>
      <c r="X305" t="inlineStr">
        <is>
          <t>2007-09-20</t>
        </is>
      </c>
      <c r="Y305" t="n">
        <v>31</v>
      </c>
      <c r="Z305" t="n">
        <v>25</v>
      </c>
      <c r="AA305" t="n">
        <v>26</v>
      </c>
      <c r="AB305" t="n">
        <v>1</v>
      </c>
      <c r="AC305" t="n">
        <v>1</v>
      </c>
      <c r="AD305" t="n">
        <v>5</v>
      </c>
      <c r="AE305" t="n">
        <v>5</v>
      </c>
      <c r="AF305" t="n">
        <v>1</v>
      </c>
      <c r="AG305" t="n">
        <v>1</v>
      </c>
      <c r="AH305" t="n">
        <v>2</v>
      </c>
      <c r="AI305" t="n">
        <v>2</v>
      </c>
      <c r="AJ305" t="n">
        <v>2</v>
      </c>
      <c r="AK305" t="n">
        <v>2</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HYPERLINK("https://creighton-primo.hosted.exlibrisgroup.com/primo-explore/search?tab=default_tab&amp;search_scope=EVERYTHING&amp;vid=01CRU&amp;lang=en_US&amp;offset=0&amp;query=any,contains,991005117679702656","Catalog Record")</f>
        <v/>
      </c>
      <c r="AT305">
        <f>HYPERLINK("http://www.worldcat.org/oclc/37300681","WorldCat Record")</f>
        <v/>
      </c>
      <c r="AU305" t="inlineStr">
        <is>
          <t>621545:eng</t>
        </is>
      </c>
      <c r="AV305" t="inlineStr">
        <is>
          <t>37300681</t>
        </is>
      </c>
      <c r="AW305" t="inlineStr">
        <is>
          <t>991005117679702656</t>
        </is>
      </c>
      <c r="AX305" t="inlineStr">
        <is>
          <t>991005117679702656</t>
        </is>
      </c>
      <c r="AY305" t="inlineStr">
        <is>
          <t>2259531540002656</t>
        </is>
      </c>
      <c r="AZ305" t="inlineStr">
        <is>
          <t>BOOK</t>
        </is>
      </c>
      <c r="BB305" t="inlineStr">
        <is>
          <t>9780814624562</t>
        </is>
      </c>
      <c r="BC305" t="inlineStr">
        <is>
          <t>32285005326540</t>
        </is>
      </c>
      <c r="BD305" t="inlineStr">
        <is>
          <t>893801753</t>
        </is>
      </c>
    </row>
    <row r="306">
      <c r="A306" t="inlineStr">
        <is>
          <t>No</t>
        </is>
      </c>
      <c r="B306" t="inlineStr">
        <is>
          <t>BV283.T4 S83 2005</t>
        </is>
      </c>
      <c r="C306" t="inlineStr">
        <is>
          <t>0                      BV 0283000T  4                  S  83          2005</t>
        </is>
      </c>
      <c r="D306" t="inlineStr">
        <is>
          <t>Stay with us, Lord : prayers and reflections for educators / Michael P. Caruso, editor.</t>
        </is>
      </c>
      <c r="F306" t="inlineStr">
        <is>
          <t>No</t>
        </is>
      </c>
      <c r="G306" t="inlineStr">
        <is>
          <t>1</t>
        </is>
      </c>
      <c r="H306" t="inlineStr">
        <is>
          <t>No</t>
        </is>
      </c>
      <c r="I306" t="inlineStr">
        <is>
          <t>No</t>
        </is>
      </c>
      <c r="J306" t="inlineStr">
        <is>
          <t>0</t>
        </is>
      </c>
      <c r="L306" t="inlineStr">
        <is>
          <t>Washington, DC : National Catholic Educational Association, c2005.</t>
        </is>
      </c>
      <c r="M306" t="inlineStr">
        <is>
          <t>2005</t>
        </is>
      </c>
      <c r="O306" t="inlineStr">
        <is>
          <t>eng</t>
        </is>
      </c>
      <c r="P306" t="inlineStr">
        <is>
          <t>dcu</t>
        </is>
      </c>
      <c r="R306" t="inlineStr">
        <is>
          <t xml:space="preserve">BV </t>
        </is>
      </c>
      <c r="S306" t="n">
        <v>3</v>
      </c>
      <c r="T306" t="n">
        <v>3</v>
      </c>
      <c r="U306" t="inlineStr">
        <is>
          <t>2006-09-14</t>
        </is>
      </c>
      <c r="V306" t="inlineStr">
        <is>
          <t>2006-09-14</t>
        </is>
      </c>
      <c r="W306" t="inlineStr">
        <is>
          <t>2006-03-14</t>
        </is>
      </c>
      <c r="X306" t="inlineStr">
        <is>
          <t>2006-03-14</t>
        </is>
      </c>
      <c r="Y306" t="n">
        <v>20</v>
      </c>
      <c r="Z306" t="n">
        <v>19</v>
      </c>
      <c r="AA306" t="n">
        <v>19</v>
      </c>
      <c r="AB306" t="n">
        <v>1</v>
      </c>
      <c r="AC306" t="n">
        <v>1</v>
      </c>
      <c r="AD306" t="n">
        <v>5</v>
      </c>
      <c r="AE306" t="n">
        <v>5</v>
      </c>
      <c r="AF306" t="n">
        <v>2</v>
      </c>
      <c r="AG306" t="n">
        <v>2</v>
      </c>
      <c r="AH306" t="n">
        <v>1</v>
      </c>
      <c r="AI306" t="n">
        <v>1</v>
      </c>
      <c r="AJ306" t="n">
        <v>3</v>
      </c>
      <c r="AK306" t="n">
        <v>3</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HYPERLINK("https://creighton-primo.hosted.exlibrisgroup.com/primo-explore/search?tab=default_tab&amp;search_scope=EVERYTHING&amp;vid=01CRU&amp;lang=en_US&amp;offset=0&amp;query=any,contains,991004721599702656","Catalog Record")</f>
        <v/>
      </c>
      <c r="AT306">
        <f>HYPERLINK("http://www.worldcat.org/oclc/63544613","WorldCat Record")</f>
        <v/>
      </c>
      <c r="AU306" t="inlineStr">
        <is>
          <t>47682602:eng</t>
        </is>
      </c>
      <c r="AV306" t="inlineStr">
        <is>
          <t>63544613</t>
        </is>
      </c>
      <c r="AW306" t="inlineStr">
        <is>
          <t>991004721599702656</t>
        </is>
      </c>
      <c r="AX306" t="inlineStr">
        <is>
          <t>991004721599702656</t>
        </is>
      </c>
      <c r="AY306" t="inlineStr">
        <is>
          <t>2270491570002656</t>
        </is>
      </c>
      <c r="AZ306" t="inlineStr">
        <is>
          <t>BOOK</t>
        </is>
      </c>
      <c r="BB306" t="inlineStr">
        <is>
          <t>9781558333765</t>
        </is>
      </c>
      <c r="BC306" t="inlineStr">
        <is>
          <t>32285005165302</t>
        </is>
      </c>
      <c r="BD306" t="inlineStr">
        <is>
          <t>893700574</t>
        </is>
      </c>
    </row>
    <row r="307">
      <c r="A307" t="inlineStr">
        <is>
          <t>No</t>
        </is>
      </c>
      <c r="B307" t="inlineStr">
        <is>
          <t>BV2831 .C63 1964</t>
        </is>
      </c>
      <c r="C307" t="inlineStr">
        <is>
          <t>0                      BV 2831000C  63          1964</t>
        </is>
      </c>
      <c r="D307" t="inlineStr">
        <is>
          <t>The church in the new Latin America / edited by John J. Considine.</t>
        </is>
      </c>
      <c r="F307" t="inlineStr">
        <is>
          <t>No</t>
        </is>
      </c>
      <c r="G307" t="inlineStr">
        <is>
          <t>1</t>
        </is>
      </c>
      <c r="H307" t="inlineStr">
        <is>
          <t>No</t>
        </is>
      </c>
      <c r="I307" t="inlineStr">
        <is>
          <t>No</t>
        </is>
      </c>
      <c r="J307" t="inlineStr">
        <is>
          <t>0</t>
        </is>
      </c>
      <c r="K307" t="inlineStr">
        <is>
          <t>Considine, John Joseph, 1897-1982, editor.</t>
        </is>
      </c>
      <c r="L307" t="inlineStr">
        <is>
          <t>Notre Dame, Ind. : Fides Publishers, [c1964]</t>
        </is>
      </c>
      <c r="M307" t="inlineStr">
        <is>
          <t>1964</t>
        </is>
      </c>
      <c r="O307" t="inlineStr">
        <is>
          <t>eng</t>
        </is>
      </c>
      <c r="P307" t="inlineStr">
        <is>
          <t>inu</t>
        </is>
      </c>
      <c r="Q307" t="inlineStr">
        <is>
          <t>A Fides paperback textbook, PBT-6</t>
        </is>
      </c>
      <c r="R307" t="inlineStr">
        <is>
          <t xml:space="preserve">BV </t>
        </is>
      </c>
      <c r="S307" t="n">
        <v>1</v>
      </c>
      <c r="T307" t="n">
        <v>1</v>
      </c>
      <c r="U307" t="inlineStr">
        <is>
          <t>2009-03-13</t>
        </is>
      </c>
      <c r="V307" t="inlineStr">
        <is>
          <t>2009-03-13</t>
        </is>
      </c>
      <c r="W307" t="inlineStr">
        <is>
          <t>1992-02-10</t>
        </is>
      </c>
      <c r="X307" t="inlineStr">
        <is>
          <t>1992-02-10</t>
        </is>
      </c>
      <c r="Y307" t="n">
        <v>362</v>
      </c>
      <c r="Z307" t="n">
        <v>333</v>
      </c>
      <c r="AA307" t="n">
        <v>340</v>
      </c>
      <c r="AB307" t="n">
        <v>2</v>
      </c>
      <c r="AC307" t="n">
        <v>2</v>
      </c>
      <c r="AD307" t="n">
        <v>35</v>
      </c>
      <c r="AE307" t="n">
        <v>35</v>
      </c>
      <c r="AF307" t="n">
        <v>12</v>
      </c>
      <c r="AG307" t="n">
        <v>12</v>
      </c>
      <c r="AH307" t="n">
        <v>9</v>
      </c>
      <c r="AI307" t="n">
        <v>9</v>
      </c>
      <c r="AJ307" t="n">
        <v>24</v>
      </c>
      <c r="AK307" t="n">
        <v>24</v>
      </c>
      <c r="AL307" t="n">
        <v>1</v>
      </c>
      <c r="AM307" t="n">
        <v>1</v>
      </c>
      <c r="AN307" t="n">
        <v>0</v>
      </c>
      <c r="AO307" t="n">
        <v>0</v>
      </c>
      <c r="AP307" t="inlineStr">
        <is>
          <t>No</t>
        </is>
      </c>
      <c r="AQ307" t="inlineStr">
        <is>
          <t>Yes</t>
        </is>
      </c>
      <c r="AR307">
        <f>HYPERLINK("http://catalog.hathitrust.org/Record/101529636","HathiTrust Record")</f>
        <v/>
      </c>
      <c r="AS307">
        <f>HYPERLINK("https://creighton-primo.hosted.exlibrisgroup.com/primo-explore/search?tab=default_tab&amp;search_scope=EVERYTHING&amp;vid=01CRU&amp;lang=en_US&amp;offset=0&amp;query=any,contains,991004353219702656","Catalog Record")</f>
        <v/>
      </c>
      <c r="AT307">
        <f>HYPERLINK("http://www.worldcat.org/oclc/1162989","WorldCat Record")</f>
        <v/>
      </c>
      <c r="AU307" t="inlineStr">
        <is>
          <t>24806378:eng</t>
        </is>
      </c>
      <c r="AV307" t="inlineStr">
        <is>
          <t>1162989</t>
        </is>
      </c>
      <c r="AW307" t="inlineStr">
        <is>
          <t>991004353219702656</t>
        </is>
      </c>
      <c r="AX307" t="inlineStr">
        <is>
          <t>991004353219702656</t>
        </is>
      </c>
      <c r="AY307" t="inlineStr">
        <is>
          <t>2264440470002656</t>
        </is>
      </c>
      <c r="AZ307" t="inlineStr">
        <is>
          <t>BOOK</t>
        </is>
      </c>
      <c r="BC307" t="inlineStr">
        <is>
          <t>32285000928464</t>
        </is>
      </c>
      <c r="BD307" t="inlineStr">
        <is>
          <t>893718804</t>
        </is>
      </c>
    </row>
    <row r="308">
      <c r="A308" t="inlineStr">
        <is>
          <t>No</t>
        </is>
      </c>
      <c r="B308" t="inlineStr">
        <is>
          <t>BV2831 .C66</t>
        </is>
      </c>
      <c r="C308" t="inlineStr">
        <is>
          <t>0                      BV 2831000C  66</t>
        </is>
      </c>
      <c r="D308" t="inlineStr">
        <is>
          <t>Mission to Latin America : the successes and failures of a twentieth-century crusade / Gerald M. Costello.</t>
        </is>
      </c>
      <c r="F308" t="inlineStr">
        <is>
          <t>No</t>
        </is>
      </c>
      <c r="G308" t="inlineStr">
        <is>
          <t>1</t>
        </is>
      </c>
      <c r="H308" t="inlineStr">
        <is>
          <t>No</t>
        </is>
      </c>
      <c r="I308" t="inlineStr">
        <is>
          <t>No</t>
        </is>
      </c>
      <c r="J308" t="inlineStr">
        <is>
          <t>0</t>
        </is>
      </c>
      <c r="K308" t="inlineStr">
        <is>
          <t>Costello, Gerald M.</t>
        </is>
      </c>
      <c r="L308" t="inlineStr">
        <is>
          <t>Maryknoll, N.Y. : Orbis Books, c1979.</t>
        </is>
      </c>
      <c r="M308" t="inlineStr">
        <is>
          <t>1979</t>
        </is>
      </c>
      <c r="O308" t="inlineStr">
        <is>
          <t>eng</t>
        </is>
      </c>
      <c r="P308" t="inlineStr">
        <is>
          <t>nyu</t>
        </is>
      </c>
      <c r="R308" t="inlineStr">
        <is>
          <t xml:space="preserve">BV </t>
        </is>
      </c>
      <c r="S308" t="n">
        <v>4</v>
      </c>
      <c r="T308" t="n">
        <v>4</v>
      </c>
      <c r="U308" t="inlineStr">
        <is>
          <t>2009-03-13</t>
        </is>
      </c>
      <c r="V308" t="inlineStr">
        <is>
          <t>2009-03-13</t>
        </is>
      </c>
      <c r="W308" t="inlineStr">
        <is>
          <t>1990-04-20</t>
        </is>
      </c>
      <c r="X308" t="inlineStr">
        <is>
          <t>1990-04-20</t>
        </is>
      </c>
      <c r="Y308" t="n">
        <v>319</v>
      </c>
      <c r="Z308" t="n">
        <v>273</v>
      </c>
      <c r="AA308" t="n">
        <v>275</v>
      </c>
      <c r="AB308" t="n">
        <v>1</v>
      </c>
      <c r="AC308" t="n">
        <v>1</v>
      </c>
      <c r="AD308" t="n">
        <v>23</v>
      </c>
      <c r="AE308" t="n">
        <v>24</v>
      </c>
      <c r="AF308" t="n">
        <v>5</v>
      </c>
      <c r="AG308" t="n">
        <v>5</v>
      </c>
      <c r="AH308" t="n">
        <v>9</v>
      </c>
      <c r="AI308" t="n">
        <v>9</v>
      </c>
      <c r="AJ308" t="n">
        <v>15</v>
      </c>
      <c r="AK308" t="n">
        <v>16</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HYPERLINK("https://creighton-primo.hosted.exlibrisgroup.com/primo-explore/search?tab=default_tab&amp;search_scope=EVERYTHING&amp;vid=01CRU&amp;lang=en_US&amp;offset=0&amp;query=any,contains,991004605839702656","Catalog Record")</f>
        <v/>
      </c>
      <c r="AT308">
        <f>HYPERLINK("http://www.worldcat.org/oclc/4194471","WorldCat Record")</f>
        <v/>
      </c>
      <c r="AU308" t="inlineStr">
        <is>
          <t>12828436:eng</t>
        </is>
      </c>
      <c r="AV308" t="inlineStr">
        <is>
          <t>4194471</t>
        </is>
      </c>
      <c r="AW308" t="inlineStr">
        <is>
          <t>991004605839702656</t>
        </is>
      </c>
      <c r="AX308" t="inlineStr">
        <is>
          <t>991004605839702656</t>
        </is>
      </c>
      <c r="AY308" t="inlineStr">
        <is>
          <t>2262499500002656</t>
        </is>
      </c>
      <c r="AZ308" t="inlineStr">
        <is>
          <t>BOOK</t>
        </is>
      </c>
      <c r="BB308" t="inlineStr">
        <is>
          <t>9780883443125</t>
        </is>
      </c>
      <c r="BC308" t="inlineStr">
        <is>
          <t>32285000130145</t>
        </is>
      </c>
      <c r="BD308" t="inlineStr">
        <is>
          <t>893507041</t>
        </is>
      </c>
    </row>
    <row r="309">
      <c r="A309" t="inlineStr">
        <is>
          <t>No</t>
        </is>
      </c>
      <c r="B309" t="inlineStr">
        <is>
          <t>BV2833 .K6</t>
        </is>
      </c>
      <c r="C309" t="inlineStr">
        <is>
          <t>0                      BV 2833000K  6</t>
        </is>
      </c>
      <c r="D309" t="inlineStr">
        <is>
          <t>A Jesuit hacienda in colonial Mexico : Santa Lucía, 1576-1767 / Herman W. Konrad.</t>
        </is>
      </c>
      <c r="F309" t="inlineStr">
        <is>
          <t>No</t>
        </is>
      </c>
      <c r="G309" t="inlineStr">
        <is>
          <t>1</t>
        </is>
      </c>
      <c r="H309" t="inlineStr">
        <is>
          <t>No</t>
        </is>
      </c>
      <c r="I309" t="inlineStr">
        <is>
          <t>No</t>
        </is>
      </c>
      <c r="J309" t="inlineStr">
        <is>
          <t>0</t>
        </is>
      </c>
      <c r="K309" t="inlineStr">
        <is>
          <t>Konrad, Herman W.</t>
        </is>
      </c>
      <c r="L309" t="inlineStr">
        <is>
          <t>Stanford, Calif. : Stanford University Press, 1980.</t>
        </is>
      </c>
      <c r="M309" t="inlineStr">
        <is>
          <t>1980</t>
        </is>
      </c>
      <c r="O309" t="inlineStr">
        <is>
          <t>eng</t>
        </is>
      </c>
      <c r="P309" t="inlineStr">
        <is>
          <t>cau</t>
        </is>
      </c>
      <c r="R309" t="inlineStr">
        <is>
          <t xml:space="preserve">BV </t>
        </is>
      </c>
      <c r="S309" t="n">
        <v>2</v>
      </c>
      <c r="T309" t="n">
        <v>2</v>
      </c>
      <c r="U309" t="inlineStr">
        <is>
          <t>2006-10-06</t>
        </is>
      </c>
      <c r="V309" t="inlineStr">
        <is>
          <t>2006-10-06</t>
        </is>
      </c>
      <c r="W309" t="inlineStr">
        <is>
          <t>1992-02-10</t>
        </is>
      </c>
      <c r="X309" t="inlineStr">
        <is>
          <t>1992-02-10</t>
        </is>
      </c>
      <c r="Y309" t="n">
        <v>388</v>
      </c>
      <c r="Z309" t="n">
        <v>303</v>
      </c>
      <c r="AA309" t="n">
        <v>303</v>
      </c>
      <c r="AB309" t="n">
        <v>3</v>
      </c>
      <c r="AC309" t="n">
        <v>3</v>
      </c>
      <c r="AD309" t="n">
        <v>25</v>
      </c>
      <c r="AE309" t="n">
        <v>25</v>
      </c>
      <c r="AF309" t="n">
        <v>8</v>
      </c>
      <c r="AG309" t="n">
        <v>8</v>
      </c>
      <c r="AH309" t="n">
        <v>9</v>
      </c>
      <c r="AI309" t="n">
        <v>9</v>
      </c>
      <c r="AJ309" t="n">
        <v>17</v>
      </c>
      <c r="AK309" t="n">
        <v>17</v>
      </c>
      <c r="AL309" t="n">
        <v>2</v>
      </c>
      <c r="AM309" t="n">
        <v>2</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HYPERLINK("https://creighton-primo.hosted.exlibrisgroup.com/primo-explore/search?tab=default_tab&amp;search_scope=EVERYTHING&amp;vid=01CRU&amp;lang=en_US&amp;offset=0&amp;query=any,contains,991005078519702656","Catalog Record")</f>
        <v/>
      </c>
      <c r="AT309">
        <f>HYPERLINK("http://www.worldcat.org/oclc/7162647","WorldCat Record")</f>
        <v/>
      </c>
      <c r="AU309" t="inlineStr">
        <is>
          <t>459761:eng</t>
        </is>
      </c>
      <c r="AV309" t="inlineStr">
        <is>
          <t>7162647</t>
        </is>
      </c>
      <c r="AW309" t="inlineStr">
        <is>
          <t>991005078519702656</t>
        </is>
      </c>
      <c r="AX309" t="inlineStr">
        <is>
          <t>991005078519702656</t>
        </is>
      </c>
      <c r="AY309" t="inlineStr">
        <is>
          <t>2269960720002656</t>
        </is>
      </c>
      <c r="AZ309" t="inlineStr">
        <is>
          <t>BOOK</t>
        </is>
      </c>
      <c r="BB309" t="inlineStr">
        <is>
          <t>9780804710503</t>
        </is>
      </c>
      <c r="BC309" t="inlineStr">
        <is>
          <t>32285000928498</t>
        </is>
      </c>
      <c r="BD309" t="inlineStr">
        <is>
          <t>893600575</t>
        </is>
      </c>
    </row>
    <row r="310">
      <c r="A310" t="inlineStr">
        <is>
          <t>No</t>
        </is>
      </c>
      <c r="B310" t="inlineStr">
        <is>
          <t>BV2836.V3 P3 1962</t>
        </is>
      </c>
      <c r="C310" t="inlineStr">
        <is>
          <t>0                      BV 2836000V  3                  P  3           1962</t>
        </is>
      </c>
      <c r="D310" t="inlineStr">
        <is>
          <t>Fray Diego Valadés, O.F.M., evangelizador humanista de la Nueva España : su obra / Esteban J. Palomera.</t>
        </is>
      </c>
      <c r="F310" t="inlineStr">
        <is>
          <t>No</t>
        </is>
      </c>
      <c r="G310" t="inlineStr">
        <is>
          <t>1</t>
        </is>
      </c>
      <c r="H310" t="inlineStr">
        <is>
          <t>No</t>
        </is>
      </c>
      <c r="I310" t="inlineStr">
        <is>
          <t>No</t>
        </is>
      </c>
      <c r="J310" t="inlineStr">
        <is>
          <t>0</t>
        </is>
      </c>
      <c r="K310" t="inlineStr">
        <is>
          <t>Palomera, Esteban J.</t>
        </is>
      </c>
      <c r="L310" t="inlineStr">
        <is>
          <t>México : Editorial Jus, 1962</t>
        </is>
      </c>
      <c r="M310" t="inlineStr">
        <is>
          <t>1962</t>
        </is>
      </c>
      <c r="N310" t="inlineStr">
        <is>
          <t>[1. ed.]</t>
        </is>
      </c>
      <c r="O310" t="inlineStr">
        <is>
          <t>spa</t>
        </is>
      </c>
      <c r="P310" t="inlineStr">
        <is>
          <t xml:space="preserve">mx </t>
        </is>
      </c>
      <c r="R310" t="inlineStr">
        <is>
          <t xml:space="preserve">BV </t>
        </is>
      </c>
      <c r="S310" t="n">
        <v>2</v>
      </c>
      <c r="T310" t="n">
        <v>2</v>
      </c>
      <c r="U310" t="inlineStr">
        <is>
          <t>2000-02-28</t>
        </is>
      </c>
      <c r="V310" t="inlineStr">
        <is>
          <t>2000-02-28</t>
        </is>
      </c>
      <c r="W310" t="inlineStr">
        <is>
          <t>1992-02-10</t>
        </is>
      </c>
      <c r="X310" t="inlineStr">
        <is>
          <t>1992-02-10</t>
        </is>
      </c>
      <c r="Y310" t="n">
        <v>31</v>
      </c>
      <c r="Z310" t="n">
        <v>26</v>
      </c>
      <c r="AA310" t="n">
        <v>54</v>
      </c>
      <c r="AB310" t="n">
        <v>1</v>
      </c>
      <c r="AC310" t="n">
        <v>1</v>
      </c>
      <c r="AD310" t="n">
        <v>3</v>
      </c>
      <c r="AE310" t="n">
        <v>3</v>
      </c>
      <c r="AF310" t="n">
        <v>0</v>
      </c>
      <c r="AG310" t="n">
        <v>0</v>
      </c>
      <c r="AH310" t="n">
        <v>0</v>
      </c>
      <c r="AI310" t="n">
        <v>0</v>
      </c>
      <c r="AJ310" t="n">
        <v>3</v>
      </c>
      <c r="AK310" t="n">
        <v>3</v>
      </c>
      <c r="AL310" t="n">
        <v>0</v>
      </c>
      <c r="AM310" t="n">
        <v>0</v>
      </c>
      <c r="AN310" t="n">
        <v>0</v>
      </c>
      <c r="AO310" t="n">
        <v>0</v>
      </c>
      <c r="AP310" t="inlineStr">
        <is>
          <t>No</t>
        </is>
      </c>
      <c r="AQ310" t="inlineStr">
        <is>
          <t>Yes</t>
        </is>
      </c>
      <c r="AR310">
        <f>HYPERLINK("http://catalog.hathitrust.org/Record/101518827","HathiTrust Record")</f>
        <v/>
      </c>
      <c r="AS310">
        <f>HYPERLINK("https://creighton-primo.hosted.exlibrisgroup.com/primo-explore/search?tab=default_tab&amp;search_scope=EVERYTHING&amp;vid=01CRU&amp;lang=en_US&amp;offset=0&amp;query=any,contains,991000361679702656","Catalog Record")</f>
        <v/>
      </c>
      <c r="AT310">
        <f>HYPERLINK("http://www.worldcat.org/oclc/10374543","WorldCat Record")</f>
        <v/>
      </c>
      <c r="AU310" t="inlineStr">
        <is>
          <t>2287273559:spa</t>
        </is>
      </c>
      <c r="AV310" t="inlineStr">
        <is>
          <t>10374543</t>
        </is>
      </c>
      <c r="AW310" t="inlineStr">
        <is>
          <t>991000361679702656</t>
        </is>
      </c>
      <c r="AX310" t="inlineStr">
        <is>
          <t>991000361679702656</t>
        </is>
      </c>
      <c r="AY310" t="inlineStr">
        <is>
          <t>2257401590002656</t>
        </is>
      </c>
      <c r="AZ310" t="inlineStr">
        <is>
          <t>BOOK</t>
        </is>
      </c>
      <c r="BC310" t="inlineStr">
        <is>
          <t>32285000928506</t>
        </is>
      </c>
      <c r="BD310" t="inlineStr">
        <is>
          <t>893796577</t>
        </is>
      </c>
    </row>
    <row r="311">
      <c r="A311" t="inlineStr">
        <is>
          <t>No</t>
        </is>
      </c>
      <c r="B311" t="inlineStr">
        <is>
          <t>BV284.G6 M6 1969</t>
        </is>
      </c>
      <c r="C311" t="inlineStr">
        <is>
          <t>0                      BV 0284000G  6                  M  6           1969</t>
        </is>
      </c>
      <c r="D311" t="inlineStr">
        <is>
          <t>Thomas More's prayer book : a facsimile reproduction of the annotated pages / Transcription and translation with an introd. by Louis L. Martz and Richard S. Sylvester.</t>
        </is>
      </c>
      <c r="F311" t="inlineStr">
        <is>
          <t>No</t>
        </is>
      </c>
      <c r="G311" t="inlineStr">
        <is>
          <t>1</t>
        </is>
      </c>
      <c r="H311" t="inlineStr">
        <is>
          <t>No</t>
        </is>
      </c>
      <c r="I311" t="inlineStr">
        <is>
          <t>No</t>
        </is>
      </c>
      <c r="J311" t="inlineStr">
        <is>
          <t>0</t>
        </is>
      </c>
      <c r="K311" t="inlineStr">
        <is>
          <t>More, Thomas, Saint, 1478-1535.</t>
        </is>
      </c>
      <c r="L311" t="inlineStr">
        <is>
          <t>New Haven : Published for the Elizabethan Club [by] Yale University Press, 1969.</t>
        </is>
      </c>
      <c r="M311" t="inlineStr">
        <is>
          <t>1969</t>
        </is>
      </c>
      <c r="O311" t="inlineStr">
        <is>
          <t>eng</t>
        </is>
      </c>
      <c r="P311" t="inlineStr">
        <is>
          <t>ctu</t>
        </is>
      </c>
      <c r="Q311" t="inlineStr">
        <is>
          <t>The Elizabethan Club series, 4</t>
        </is>
      </c>
      <c r="R311" t="inlineStr">
        <is>
          <t xml:space="preserve">BV </t>
        </is>
      </c>
      <c r="S311" t="n">
        <v>1</v>
      </c>
      <c r="T311" t="n">
        <v>1</v>
      </c>
      <c r="U311" t="inlineStr">
        <is>
          <t>1993-07-26</t>
        </is>
      </c>
      <c r="V311" t="inlineStr">
        <is>
          <t>1993-07-26</t>
        </is>
      </c>
      <c r="W311" t="inlineStr">
        <is>
          <t>1992-01-08</t>
        </is>
      </c>
      <c r="X311" t="inlineStr">
        <is>
          <t>1992-01-08</t>
        </is>
      </c>
      <c r="Y311" t="n">
        <v>567</v>
      </c>
      <c r="Z311" t="n">
        <v>495</v>
      </c>
      <c r="AA311" t="n">
        <v>500</v>
      </c>
      <c r="AB311" t="n">
        <v>4</v>
      </c>
      <c r="AC311" t="n">
        <v>4</v>
      </c>
      <c r="AD311" t="n">
        <v>34</v>
      </c>
      <c r="AE311" t="n">
        <v>34</v>
      </c>
      <c r="AF311" t="n">
        <v>13</v>
      </c>
      <c r="AG311" t="n">
        <v>13</v>
      </c>
      <c r="AH311" t="n">
        <v>8</v>
      </c>
      <c r="AI311" t="n">
        <v>8</v>
      </c>
      <c r="AJ311" t="n">
        <v>20</v>
      </c>
      <c r="AK311" t="n">
        <v>20</v>
      </c>
      <c r="AL311" t="n">
        <v>3</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HYPERLINK("https://creighton-primo.hosted.exlibrisgroup.com/primo-explore/search?tab=default_tab&amp;search_scope=EVERYTHING&amp;vid=01CRU&amp;lang=en_US&amp;offset=0&amp;query=any,contains,991000053619702656","Catalog Record")</f>
        <v/>
      </c>
      <c r="AT311">
        <f>HYPERLINK("http://www.worldcat.org/oclc/23070","WorldCat Record")</f>
        <v/>
      </c>
      <c r="AU311" t="inlineStr">
        <is>
          <t>1122414551:eng</t>
        </is>
      </c>
      <c r="AV311" t="inlineStr">
        <is>
          <t>23070</t>
        </is>
      </c>
      <c r="AW311" t="inlineStr">
        <is>
          <t>991000053619702656</t>
        </is>
      </c>
      <c r="AX311" t="inlineStr">
        <is>
          <t>991000053619702656</t>
        </is>
      </c>
      <c r="AY311" t="inlineStr">
        <is>
          <t>2265413540002656</t>
        </is>
      </c>
      <c r="AZ311" t="inlineStr">
        <is>
          <t>BOOK</t>
        </is>
      </c>
      <c r="BC311" t="inlineStr">
        <is>
          <t>32285000902188</t>
        </is>
      </c>
      <c r="BD311" t="inlineStr">
        <is>
          <t>893527749</t>
        </is>
      </c>
    </row>
    <row r="312">
      <c r="A312" t="inlineStr">
        <is>
          <t>No</t>
        </is>
      </c>
      <c r="B312" t="inlineStr">
        <is>
          <t>BV2842 .B73 1988</t>
        </is>
      </c>
      <c r="C312" t="inlineStr">
        <is>
          <t>0                      BV 2842000B  73          1988</t>
        </is>
      </c>
      <c r="D312" t="inlineStr">
        <is>
          <t>Murdered in Central America : the stories of eleven U.S. missionaries / Donna Whitson Brett, Edward T. Brett.</t>
        </is>
      </c>
      <c r="F312" t="inlineStr">
        <is>
          <t>No</t>
        </is>
      </c>
      <c r="G312" t="inlineStr">
        <is>
          <t>1</t>
        </is>
      </c>
      <c r="H312" t="inlineStr">
        <is>
          <t>No</t>
        </is>
      </c>
      <c r="I312" t="inlineStr">
        <is>
          <t>No</t>
        </is>
      </c>
      <c r="J312" t="inlineStr">
        <is>
          <t>0</t>
        </is>
      </c>
      <c r="K312" t="inlineStr">
        <is>
          <t>Brett, Donna Whitson.</t>
        </is>
      </c>
      <c r="L312" t="inlineStr">
        <is>
          <t>Maryknoll, N.Y. : Orbis Books, c1988.</t>
        </is>
      </c>
      <c r="M312" t="inlineStr">
        <is>
          <t>1988</t>
        </is>
      </c>
      <c r="O312" t="inlineStr">
        <is>
          <t>eng</t>
        </is>
      </c>
      <c r="P312" t="inlineStr">
        <is>
          <t>nyu</t>
        </is>
      </c>
      <c r="R312" t="inlineStr">
        <is>
          <t xml:space="preserve">BV </t>
        </is>
      </c>
      <c r="S312" t="n">
        <v>5</v>
      </c>
      <c r="T312" t="n">
        <v>5</v>
      </c>
      <c r="U312" t="inlineStr">
        <is>
          <t>2007-01-30</t>
        </is>
      </c>
      <c r="V312" t="inlineStr">
        <is>
          <t>2007-01-30</t>
        </is>
      </c>
      <c r="W312" t="inlineStr">
        <is>
          <t>1999-11-02</t>
        </is>
      </c>
      <c r="X312" t="inlineStr">
        <is>
          <t>1999-11-02</t>
        </is>
      </c>
      <c r="Y312" t="n">
        <v>381</v>
      </c>
      <c r="Z312" t="n">
        <v>338</v>
      </c>
      <c r="AA312" t="n">
        <v>340</v>
      </c>
      <c r="AB312" t="n">
        <v>2</v>
      </c>
      <c r="AC312" t="n">
        <v>2</v>
      </c>
      <c r="AD312" t="n">
        <v>25</v>
      </c>
      <c r="AE312" t="n">
        <v>25</v>
      </c>
      <c r="AF312" t="n">
        <v>8</v>
      </c>
      <c r="AG312" t="n">
        <v>8</v>
      </c>
      <c r="AH312" t="n">
        <v>9</v>
      </c>
      <c r="AI312" t="n">
        <v>9</v>
      </c>
      <c r="AJ312" t="n">
        <v>16</v>
      </c>
      <c r="AK312" t="n">
        <v>16</v>
      </c>
      <c r="AL312" t="n">
        <v>1</v>
      </c>
      <c r="AM312" t="n">
        <v>1</v>
      </c>
      <c r="AN312" t="n">
        <v>1</v>
      </c>
      <c r="AO312" t="n">
        <v>1</v>
      </c>
      <c r="AP312" t="inlineStr">
        <is>
          <t>No</t>
        </is>
      </c>
      <c r="AQ312" t="inlineStr">
        <is>
          <t>Yes</t>
        </is>
      </c>
      <c r="AR312">
        <f>HYPERLINK("http://catalog.hathitrust.org/Record/001079097","HathiTrust Record")</f>
        <v/>
      </c>
      <c r="AS312">
        <f>HYPERLINK("https://creighton-primo.hosted.exlibrisgroup.com/primo-explore/search?tab=default_tab&amp;search_scope=EVERYTHING&amp;vid=01CRU&amp;lang=en_US&amp;offset=0&amp;query=any,contains,991001218679702656","Catalog Record")</f>
        <v/>
      </c>
      <c r="AT312">
        <f>HYPERLINK("http://www.worldcat.org/oclc/17441150","WorldCat Record")</f>
        <v/>
      </c>
      <c r="AU312" t="inlineStr">
        <is>
          <t>892071956:eng</t>
        </is>
      </c>
      <c r="AV312" t="inlineStr">
        <is>
          <t>17441150</t>
        </is>
      </c>
      <c r="AW312" t="inlineStr">
        <is>
          <t>991001218679702656</t>
        </is>
      </c>
      <c r="AX312" t="inlineStr">
        <is>
          <t>991001218679702656</t>
        </is>
      </c>
      <c r="AY312" t="inlineStr">
        <is>
          <t>2260336380002656</t>
        </is>
      </c>
      <c r="AZ312" t="inlineStr">
        <is>
          <t>BOOK</t>
        </is>
      </c>
      <c r="BB312" t="inlineStr">
        <is>
          <t>9780883446249</t>
        </is>
      </c>
      <c r="BC312" t="inlineStr">
        <is>
          <t>32285003617346</t>
        </is>
      </c>
      <c r="BD312" t="inlineStr">
        <is>
          <t>893696580</t>
        </is>
      </c>
    </row>
    <row r="313">
      <c r="A313" t="inlineStr">
        <is>
          <t>No</t>
        </is>
      </c>
      <c r="B313" t="inlineStr">
        <is>
          <t>BV2848.V5 O4213 1987</t>
        </is>
      </c>
      <c r="C313" t="inlineStr">
        <is>
          <t>0                      BV 2848000V  5                  O  4213        1987</t>
        </is>
      </c>
      <c r="D313" t="inlineStr">
        <is>
          <t>C.G.A. Oldendorp's history of the mission of the evangelical brethren on the Caribbean islands of St. Thomas, St. Croix, and St. John / edited by Johann Jakob Bossard [i.e. Bossart] ; English edition and translation by Arnold R. Highfield and Vladimir Barac.</t>
        </is>
      </c>
      <c r="F313" t="inlineStr">
        <is>
          <t>No</t>
        </is>
      </c>
      <c r="G313" t="inlineStr">
        <is>
          <t>1</t>
        </is>
      </c>
      <c r="H313" t="inlineStr">
        <is>
          <t>No</t>
        </is>
      </c>
      <c r="I313" t="inlineStr">
        <is>
          <t>No</t>
        </is>
      </c>
      <c r="J313" t="inlineStr">
        <is>
          <t>0</t>
        </is>
      </c>
      <c r="K313" t="inlineStr">
        <is>
          <t>Oldendorp, C. G. A. (Christian Georg Andreas), 1721-1787.</t>
        </is>
      </c>
      <c r="L313" t="inlineStr">
        <is>
          <t>Ann Arbor : Karoma Publishers, 1987.</t>
        </is>
      </c>
      <c r="M313" t="inlineStr">
        <is>
          <t>1987</t>
        </is>
      </c>
      <c r="O313" t="inlineStr">
        <is>
          <t>eng</t>
        </is>
      </c>
      <c r="P313" t="inlineStr">
        <is>
          <t>miu</t>
        </is>
      </c>
      <c r="R313" t="inlineStr">
        <is>
          <t xml:space="preserve">BV </t>
        </is>
      </c>
      <c r="S313" t="n">
        <v>2</v>
      </c>
      <c r="T313" t="n">
        <v>2</v>
      </c>
      <c r="U313" t="inlineStr">
        <is>
          <t>2009-08-07</t>
        </is>
      </c>
      <c r="V313" t="inlineStr">
        <is>
          <t>2009-08-07</t>
        </is>
      </c>
      <c r="W313" t="inlineStr">
        <is>
          <t>1992-11-24</t>
        </is>
      </c>
      <c r="X313" t="inlineStr">
        <is>
          <t>1992-11-24</t>
        </is>
      </c>
      <c r="Y313" t="n">
        <v>158</v>
      </c>
      <c r="Z313" t="n">
        <v>128</v>
      </c>
      <c r="AA313" t="n">
        <v>130</v>
      </c>
      <c r="AB313" t="n">
        <v>1</v>
      </c>
      <c r="AC313" t="n">
        <v>1</v>
      </c>
      <c r="AD313" t="n">
        <v>4</v>
      </c>
      <c r="AE313" t="n">
        <v>4</v>
      </c>
      <c r="AF313" t="n">
        <v>0</v>
      </c>
      <c r="AG313" t="n">
        <v>0</v>
      </c>
      <c r="AH313" t="n">
        <v>3</v>
      </c>
      <c r="AI313" t="n">
        <v>3</v>
      </c>
      <c r="AJ313" t="n">
        <v>2</v>
      </c>
      <c r="AK313" t="n">
        <v>2</v>
      </c>
      <c r="AL313" t="n">
        <v>0</v>
      </c>
      <c r="AM313" t="n">
        <v>0</v>
      </c>
      <c r="AN313" t="n">
        <v>0</v>
      </c>
      <c r="AO313" t="n">
        <v>0</v>
      </c>
      <c r="AP313" t="inlineStr">
        <is>
          <t>No</t>
        </is>
      </c>
      <c r="AQ313" t="inlineStr">
        <is>
          <t>Yes</t>
        </is>
      </c>
      <c r="AR313">
        <f>HYPERLINK("http://catalog.hathitrust.org/Record/006662491","HathiTrust Record")</f>
        <v/>
      </c>
      <c r="AS313">
        <f>HYPERLINK("https://creighton-primo.hosted.exlibrisgroup.com/primo-explore/search?tab=default_tab&amp;search_scope=EVERYTHING&amp;vid=01CRU&amp;lang=en_US&amp;offset=0&amp;query=any,contains,991001318689702656","Catalog Record")</f>
        <v/>
      </c>
      <c r="AT313">
        <f>HYPERLINK("http://www.worldcat.org/oclc/18192674","WorldCat Record")</f>
        <v/>
      </c>
      <c r="AU313" t="inlineStr">
        <is>
          <t>3901289448:eng</t>
        </is>
      </c>
      <c r="AV313" t="inlineStr">
        <is>
          <t>18192674</t>
        </is>
      </c>
      <c r="AW313" t="inlineStr">
        <is>
          <t>991001318689702656</t>
        </is>
      </c>
      <c r="AX313" t="inlineStr">
        <is>
          <t>991001318689702656</t>
        </is>
      </c>
      <c r="AY313" t="inlineStr">
        <is>
          <t>2269594830002656</t>
        </is>
      </c>
      <c r="AZ313" t="inlineStr">
        <is>
          <t>BOOK</t>
        </is>
      </c>
      <c r="BB313" t="inlineStr">
        <is>
          <t>9780897200752</t>
        </is>
      </c>
      <c r="BC313" t="inlineStr">
        <is>
          <t>32285001364875</t>
        </is>
      </c>
      <c r="BD313" t="inlineStr">
        <is>
          <t>893340339</t>
        </is>
      </c>
    </row>
    <row r="314">
      <c r="A314" t="inlineStr">
        <is>
          <t>No</t>
        </is>
      </c>
      <c r="B314" t="inlineStr">
        <is>
          <t>BV2853.E3 E4</t>
        </is>
      </c>
      <c r="C314" t="inlineStr">
        <is>
          <t>0                      BV 2853000E  3                  E  4</t>
        </is>
      </c>
      <c r="D314" t="inlineStr">
        <is>
          <t>Through gates of splendor / Elisabeth Elliot. Foreword by Abe C. Van Der Puy. Picture editor, Cornell Capa.</t>
        </is>
      </c>
      <c r="F314" t="inlineStr">
        <is>
          <t>No</t>
        </is>
      </c>
      <c r="G314" t="inlineStr">
        <is>
          <t>1</t>
        </is>
      </c>
      <c r="H314" t="inlineStr">
        <is>
          <t>No</t>
        </is>
      </c>
      <c r="I314" t="inlineStr">
        <is>
          <t>No</t>
        </is>
      </c>
      <c r="J314" t="inlineStr">
        <is>
          <t>0</t>
        </is>
      </c>
      <c r="K314" t="inlineStr">
        <is>
          <t>Elliot, Elisabeth.</t>
        </is>
      </c>
      <c r="L314" t="inlineStr">
        <is>
          <t>New York, Harper [1958, c1957]</t>
        </is>
      </c>
      <c r="M314" t="inlineStr">
        <is>
          <t>1957</t>
        </is>
      </c>
      <c r="N314" t="inlineStr">
        <is>
          <t>[1st ed.]</t>
        </is>
      </c>
      <c r="O314" t="inlineStr">
        <is>
          <t>eng</t>
        </is>
      </c>
      <c r="P314" t="inlineStr">
        <is>
          <t>nyu</t>
        </is>
      </c>
      <c r="R314" t="inlineStr">
        <is>
          <t xml:space="preserve">BV </t>
        </is>
      </c>
      <c r="S314" t="n">
        <v>3</v>
      </c>
      <c r="T314" t="n">
        <v>3</v>
      </c>
      <c r="U314" t="inlineStr">
        <is>
          <t>1995-03-27</t>
        </is>
      </c>
      <c r="V314" t="inlineStr">
        <is>
          <t>1995-03-27</t>
        </is>
      </c>
      <c r="W314" t="inlineStr">
        <is>
          <t>1992-02-10</t>
        </is>
      </c>
      <c r="X314" t="inlineStr">
        <is>
          <t>1992-02-10</t>
        </is>
      </c>
      <c r="Y314" t="n">
        <v>786</v>
      </c>
      <c r="Z314" t="n">
        <v>742</v>
      </c>
      <c r="AA314" t="n">
        <v>1312</v>
      </c>
      <c r="AB314" t="n">
        <v>8</v>
      </c>
      <c r="AC314" t="n">
        <v>17</v>
      </c>
      <c r="AD314" t="n">
        <v>12</v>
      </c>
      <c r="AE314" t="n">
        <v>19</v>
      </c>
      <c r="AF314" t="n">
        <v>5</v>
      </c>
      <c r="AG314" t="n">
        <v>8</v>
      </c>
      <c r="AH314" t="n">
        <v>1</v>
      </c>
      <c r="AI314" t="n">
        <v>3</v>
      </c>
      <c r="AJ314" t="n">
        <v>4</v>
      </c>
      <c r="AK314" t="n">
        <v>4</v>
      </c>
      <c r="AL314" t="n">
        <v>3</v>
      </c>
      <c r="AM314" t="n">
        <v>6</v>
      </c>
      <c r="AN314" t="n">
        <v>0</v>
      </c>
      <c r="AO314" t="n">
        <v>0</v>
      </c>
      <c r="AP314" t="inlineStr">
        <is>
          <t>No</t>
        </is>
      </c>
      <c r="AQ314" t="inlineStr">
        <is>
          <t>Yes</t>
        </is>
      </c>
      <c r="AR314">
        <f>HYPERLINK("http://catalog.hathitrust.org/Record/001413958","HathiTrust Record")</f>
        <v/>
      </c>
      <c r="AS314">
        <f>HYPERLINK("https://creighton-primo.hosted.exlibrisgroup.com/primo-explore/search?tab=default_tab&amp;search_scope=EVERYTHING&amp;vid=01CRU&amp;lang=en_US&amp;offset=0&amp;query=any,contains,991003567589702656","Catalog Record")</f>
        <v/>
      </c>
      <c r="AT314">
        <f>HYPERLINK("http://www.worldcat.org/oclc/1141291","WorldCat Record")</f>
        <v/>
      </c>
      <c r="AU314" t="inlineStr">
        <is>
          <t>970164:eng</t>
        </is>
      </c>
      <c r="AV314" t="inlineStr">
        <is>
          <t>1141291</t>
        </is>
      </c>
      <c r="AW314" t="inlineStr">
        <is>
          <t>991003567589702656</t>
        </is>
      </c>
      <c r="AX314" t="inlineStr">
        <is>
          <t>991003567589702656</t>
        </is>
      </c>
      <c r="AY314" t="inlineStr">
        <is>
          <t>2264899020002656</t>
        </is>
      </c>
      <c r="AZ314" t="inlineStr">
        <is>
          <t>BOOK</t>
        </is>
      </c>
      <c r="BC314" t="inlineStr">
        <is>
          <t>32285000928548</t>
        </is>
      </c>
      <c r="BD314" t="inlineStr">
        <is>
          <t>893505712</t>
        </is>
      </c>
    </row>
    <row r="315">
      <c r="A315" t="inlineStr">
        <is>
          <t>No</t>
        </is>
      </c>
      <c r="B315" t="inlineStr">
        <is>
          <t>BV2857.S68 D9 1970</t>
        </is>
      </c>
      <c r="C315" t="inlineStr">
        <is>
          <t>0                      BV 2857000S  68                 D  9           1970</t>
        </is>
      </c>
      <c r="D315" t="inlineStr">
        <is>
          <t>Byzantine missions among the Slavs : SS. Constantine-Cyril and Methodius.</t>
        </is>
      </c>
      <c r="F315" t="inlineStr">
        <is>
          <t>No</t>
        </is>
      </c>
      <c r="G315" t="inlineStr">
        <is>
          <t>1</t>
        </is>
      </c>
      <c r="H315" t="inlineStr">
        <is>
          <t>No</t>
        </is>
      </c>
      <c r="I315" t="inlineStr">
        <is>
          <t>No</t>
        </is>
      </c>
      <c r="J315" t="inlineStr">
        <is>
          <t>0</t>
        </is>
      </c>
      <c r="K315" t="inlineStr">
        <is>
          <t>Dvornik, Francis, 1893-1975.</t>
        </is>
      </c>
      <c r="L315" t="inlineStr">
        <is>
          <t>New Brunswick, N.J. : Rutgers University Press, [1970]</t>
        </is>
      </c>
      <c r="M315" t="inlineStr">
        <is>
          <t>1970</t>
        </is>
      </c>
      <c r="O315" t="inlineStr">
        <is>
          <t>eng</t>
        </is>
      </c>
      <c r="P315" t="inlineStr">
        <is>
          <t>nju</t>
        </is>
      </c>
      <c r="Q315" t="inlineStr">
        <is>
          <t>Rutgers Byzantine series</t>
        </is>
      </c>
      <c r="R315" t="inlineStr">
        <is>
          <t xml:space="preserve">BV </t>
        </is>
      </c>
      <c r="S315" t="n">
        <v>2</v>
      </c>
      <c r="T315" t="n">
        <v>2</v>
      </c>
      <c r="U315" t="inlineStr">
        <is>
          <t>2009-09-21</t>
        </is>
      </c>
      <c r="V315" t="inlineStr">
        <is>
          <t>2009-09-21</t>
        </is>
      </c>
      <c r="W315" t="inlineStr">
        <is>
          <t>1992-01-30</t>
        </is>
      </c>
      <c r="X315" t="inlineStr">
        <is>
          <t>1992-01-30</t>
        </is>
      </c>
      <c r="Y315" t="n">
        <v>695</v>
      </c>
      <c r="Z315" t="n">
        <v>550</v>
      </c>
      <c r="AA315" t="n">
        <v>552</v>
      </c>
      <c r="AB315" t="n">
        <v>6</v>
      </c>
      <c r="AC315" t="n">
        <v>6</v>
      </c>
      <c r="AD315" t="n">
        <v>32</v>
      </c>
      <c r="AE315" t="n">
        <v>32</v>
      </c>
      <c r="AF315" t="n">
        <v>11</v>
      </c>
      <c r="AG315" t="n">
        <v>11</v>
      </c>
      <c r="AH315" t="n">
        <v>7</v>
      </c>
      <c r="AI315" t="n">
        <v>7</v>
      </c>
      <c r="AJ315" t="n">
        <v>19</v>
      </c>
      <c r="AK315" t="n">
        <v>19</v>
      </c>
      <c r="AL315" t="n">
        <v>4</v>
      </c>
      <c r="AM315" t="n">
        <v>4</v>
      </c>
      <c r="AN315" t="n">
        <v>0</v>
      </c>
      <c r="AO315" t="n">
        <v>0</v>
      </c>
      <c r="AP315" t="inlineStr">
        <is>
          <t>No</t>
        </is>
      </c>
      <c r="AQ315" t="inlineStr">
        <is>
          <t>Yes</t>
        </is>
      </c>
      <c r="AR315">
        <f>HYPERLINK("http://catalog.hathitrust.org/Record/000001356","HathiTrust Record")</f>
        <v/>
      </c>
      <c r="AS315">
        <f>HYPERLINK("https://creighton-primo.hosted.exlibrisgroup.com/primo-explore/search?tab=default_tab&amp;search_scope=EVERYTHING&amp;vid=01CRU&amp;lang=en_US&amp;offset=0&amp;query=any,contains,991000606189702656","Catalog Record")</f>
        <v/>
      </c>
      <c r="AT315">
        <f>HYPERLINK("http://www.worldcat.org/oclc/99185","WorldCat Record")</f>
        <v/>
      </c>
      <c r="AU315" t="inlineStr">
        <is>
          <t>349518233:eng</t>
        </is>
      </c>
      <c r="AV315" t="inlineStr">
        <is>
          <t>99185</t>
        </is>
      </c>
      <c r="AW315" t="inlineStr">
        <is>
          <t>991000606189702656</t>
        </is>
      </c>
      <c r="AX315" t="inlineStr">
        <is>
          <t>991000606189702656</t>
        </is>
      </c>
      <c r="AY315" t="inlineStr">
        <is>
          <t>2268993570002656</t>
        </is>
      </c>
      <c r="AZ315" t="inlineStr">
        <is>
          <t>BOOK</t>
        </is>
      </c>
      <c r="BB315" t="inlineStr">
        <is>
          <t>9780813506135</t>
        </is>
      </c>
      <c r="BC315" t="inlineStr">
        <is>
          <t>32285000899814</t>
        </is>
      </c>
      <c r="BD315" t="inlineStr">
        <is>
          <t>893802917</t>
        </is>
      </c>
    </row>
    <row r="316">
      <c r="A316" t="inlineStr">
        <is>
          <t>No</t>
        </is>
      </c>
      <c r="B316" t="inlineStr">
        <is>
          <t>BV3 .H4513 1999</t>
        </is>
      </c>
      <c r="C316" t="inlineStr">
        <is>
          <t>0                      BV 0003000H  4513        1999</t>
        </is>
      </c>
      <c r="D316" t="inlineStr">
        <is>
          <t>Practical theology : history, theory, action domains : manual for practical theology / Gerben Heitink ; translated by Reinder Bruinsma.</t>
        </is>
      </c>
      <c r="F316" t="inlineStr">
        <is>
          <t>No</t>
        </is>
      </c>
      <c r="G316" t="inlineStr">
        <is>
          <t>1</t>
        </is>
      </c>
      <c r="H316" t="inlineStr">
        <is>
          <t>No</t>
        </is>
      </c>
      <c r="I316" t="inlineStr">
        <is>
          <t>No</t>
        </is>
      </c>
      <c r="J316" t="inlineStr">
        <is>
          <t>0</t>
        </is>
      </c>
      <c r="K316" t="inlineStr">
        <is>
          <t>Heitink, Gerben.</t>
        </is>
      </c>
      <c r="L316" t="inlineStr">
        <is>
          <t>Grand Rapids, Mich. : W.B. Eerdmans Pub. Co. c1999.</t>
        </is>
      </c>
      <c r="M316" t="inlineStr">
        <is>
          <t>1999</t>
        </is>
      </c>
      <c r="O316" t="inlineStr">
        <is>
          <t>eng</t>
        </is>
      </c>
      <c r="P316" t="inlineStr">
        <is>
          <t>miu</t>
        </is>
      </c>
      <c r="Q316" t="inlineStr">
        <is>
          <t>Studies in practical theology</t>
        </is>
      </c>
      <c r="R316" t="inlineStr">
        <is>
          <t xml:space="preserve">BV </t>
        </is>
      </c>
      <c r="S316" t="n">
        <v>3</v>
      </c>
      <c r="T316" t="n">
        <v>3</v>
      </c>
      <c r="U316" t="inlineStr">
        <is>
          <t>2000-11-28</t>
        </is>
      </c>
      <c r="V316" t="inlineStr">
        <is>
          <t>2000-11-28</t>
        </is>
      </c>
      <c r="W316" t="inlineStr">
        <is>
          <t>2000-08-23</t>
        </is>
      </c>
      <c r="X316" t="inlineStr">
        <is>
          <t>2000-08-23</t>
        </is>
      </c>
      <c r="Y316" t="n">
        <v>215</v>
      </c>
      <c r="Z316" t="n">
        <v>160</v>
      </c>
      <c r="AA316" t="n">
        <v>160</v>
      </c>
      <c r="AB316" t="n">
        <v>1</v>
      </c>
      <c r="AC316" t="n">
        <v>1</v>
      </c>
      <c r="AD316" t="n">
        <v>11</v>
      </c>
      <c r="AE316" t="n">
        <v>11</v>
      </c>
      <c r="AF316" t="n">
        <v>6</v>
      </c>
      <c r="AG316" t="n">
        <v>6</v>
      </c>
      <c r="AH316" t="n">
        <v>1</v>
      </c>
      <c r="AI316" t="n">
        <v>1</v>
      </c>
      <c r="AJ316" t="n">
        <v>6</v>
      </c>
      <c r="AK316" t="n">
        <v>6</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HYPERLINK("https://creighton-primo.hosted.exlibrisgroup.com/primo-explore/search?tab=default_tab&amp;search_scope=EVERYTHING&amp;vid=01CRU&amp;lang=en_US&amp;offset=0&amp;query=any,contains,991003219299702656","Catalog Record")</f>
        <v/>
      </c>
      <c r="AT316">
        <f>HYPERLINK("http://www.worldcat.org/oclc/40707005","WorldCat Record")</f>
        <v/>
      </c>
      <c r="AU316" t="inlineStr">
        <is>
          <t>23586785:eng</t>
        </is>
      </c>
      <c r="AV316" t="inlineStr">
        <is>
          <t>40707005</t>
        </is>
      </c>
      <c r="AW316" t="inlineStr">
        <is>
          <t>991003219299702656</t>
        </is>
      </c>
      <c r="AX316" t="inlineStr">
        <is>
          <t>991003219299702656</t>
        </is>
      </c>
      <c r="AY316" t="inlineStr">
        <is>
          <t>2266832980002656</t>
        </is>
      </c>
      <c r="AZ316" t="inlineStr">
        <is>
          <t>BOOK</t>
        </is>
      </c>
      <c r="BB316" t="inlineStr">
        <is>
          <t>9780802842947</t>
        </is>
      </c>
      <c r="BC316" t="inlineStr">
        <is>
          <t>32285003758744</t>
        </is>
      </c>
      <c r="BD316" t="inlineStr">
        <is>
          <t>893787086</t>
        </is>
      </c>
    </row>
    <row r="317">
      <c r="A317" t="inlineStr">
        <is>
          <t>No</t>
        </is>
      </c>
      <c r="B317" t="inlineStr">
        <is>
          <t>BV3 .M43 1985</t>
        </is>
      </c>
      <c r="C317" t="inlineStr">
        <is>
          <t>0                      BV 0003000M  43          1985</t>
        </is>
      </c>
      <c r="D317" t="inlineStr">
        <is>
          <t>Polity and praxis : a program for American practical theology / Dennis P. McCann, Charles R. Strain.</t>
        </is>
      </c>
      <c r="F317" t="inlineStr">
        <is>
          <t>No</t>
        </is>
      </c>
      <c r="G317" t="inlineStr">
        <is>
          <t>1</t>
        </is>
      </c>
      <c r="H317" t="inlineStr">
        <is>
          <t>No</t>
        </is>
      </c>
      <c r="I317" t="inlineStr">
        <is>
          <t>No</t>
        </is>
      </c>
      <c r="J317" t="inlineStr">
        <is>
          <t>0</t>
        </is>
      </c>
      <c r="K317" t="inlineStr">
        <is>
          <t>McCann, Dennis.</t>
        </is>
      </c>
      <c r="L317" t="inlineStr">
        <is>
          <t>Minneapolis : Winston Press, c1985.</t>
        </is>
      </c>
      <c r="M317" t="inlineStr">
        <is>
          <t>1985</t>
        </is>
      </c>
      <c r="O317" t="inlineStr">
        <is>
          <t>eng</t>
        </is>
      </c>
      <c r="P317" t="inlineStr">
        <is>
          <t>mnu</t>
        </is>
      </c>
      <c r="R317" t="inlineStr">
        <is>
          <t xml:space="preserve">BV </t>
        </is>
      </c>
      <c r="S317" t="n">
        <v>2</v>
      </c>
      <c r="T317" t="n">
        <v>2</v>
      </c>
      <c r="U317" t="inlineStr">
        <is>
          <t>2003-11-02</t>
        </is>
      </c>
      <c r="V317" t="inlineStr">
        <is>
          <t>2003-11-02</t>
        </is>
      </c>
      <c r="W317" t="inlineStr">
        <is>
          <t>1991-11-07</t>
        </is>
      </c>
      <c r="X317" t="inlineStr">
        <is>
          <t>1991-11-07</t>
        </is>
      </c>
      <c r="Y317" t="n">
        <v>270</v>
      </c>
      <c r="Z317" t="n">
        <v>234</v>
      </c>
      <c r="AA317" t="n">
        <v>254</v>
      </c>
      <c r="AB317" t="n">
        <v>2</v>
      </c>
      <c r="AC317" t="n">
        <v>2</v>
      </c>
      <c r="AD317" t="n">
        <v>28</v>
      </c>
      <c r="AE317" t="n">
        <v>30</v>
      </c>
      <c r="AF317" t="n">
        <v>12</v>
      </c>
      <c r="AG317" t="n">
        <v>13</v>
      </c>
      <c r="AH317" t="n">
        <v>8</v>
      </c>
      <c r="AI317" t="n">
        <v>8</v>
      </c>
      <c r="AJ317" t="n">
        <v>19</v>
      </c>
      <c r="AK317" t="n">
        <v>20</v>
      </c>
      <c r="AL317" t="n">
        <v>1</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HYPERLINK("https://creighton-primo.hosted.exlibrisgroup.com/primo-explore/search?tab=default_tab&amp;search_scope=EVERYTHING&amp;vid=01CRU&amp;lang=en_US&amp;offset=0&amp;query=any,contains,991000688729702656","Catalog Record")</f>
        <v/>
      </c>
      <c r="AT317">
        <f>HYPERLINK("http://www.worldcat.org/oclc/12424059","WorldCat Record")</f>
        <v/>
      </c>
      <c r="AU317" t="inlineStr">
        <is>
          <t>5086102:eng</t>
        </is>
      </c>
      <c r="AV317" t="inlineStr">
        <is>
          <t>12424059</t>
        </is>
      </c>
      <c r="AW317" t="inlineStr">
        <is>
          <t>991000688729702656</t>
        </is>
      </c>
      <c r="AX317" t="inlineStr">
        <is>
          <t>991000688729702656</t>
        </is>
      </c>
      <c r="AY317" t="inlineStr">
        <is>
          <t>2259257610002656</t>
        </is>
      </c>
      <c r="AZ317" t="inlineStr">
        <is>
          <t>BOOK</t>
        </is>
      </c>
      <c r="BB317" t="inlineStr">
        <is>
          <t>9780866839860</t>
        </is>
      </c>
      <c r="BC317" t="inlineStr">
        <is>
          <t>32285000809706</t>
        </is>
      </c>
      <c r="BD317" t="inlineStr">
        <is>
          <t>893595787</t>
        </is>
      </c>
    </row>
    <row r="318">
      <c r="A318" t="inlineStr">
        <is>
          <t>No</t>
        </is>
      </c>
      <c r="B318" t="inlineStr">
        <is>
          <t>BV30 .C48 1984</t>
        </is>
      </c>
      <c r="C318" t="inlineStr">
        <is>
          <t>0                      BV 0030000C  48          1984</t>
        </is>
      </c>
      <c r="D318" t="inlineStr">
        <is>
          <t>The Church gives thanks and remembers : essays on the Liturgical Year / editor, Lawrence J. Johnson ; Mark Searle ... [et al.].</t>
        </is>
      </c>
      <c r="F318" t="inlineStr">
        <is>
          <t>No</t>
        </is>
      </c>
      <c r="G318" t="inlineStr">
        <is>
          <t>1</t>
        </is>
      </c>
      <c r="H318" t="inlineStr">
        <is>
          <t>No</t>
        </is>
      </c>
      <c r="I318" t="inlineStr">
        <is>
          <t>No</t>
        </is>
      </c>
      <c r="J318" t="inlineStr">
        <is>
          <t>0</t>
        </is>
      </c>
      <c r="L318" t="inlineStr">
        <is>
          <t>Collegeville, Minn. : Liturgical Press, c1984.</t>
        </is>
      </c>
      <c r="M318" t="inlineStr">
        <is>
          <t>1984</t>
        </is>
      </c>
      <c r="O318" t="inlineStr">
        <is>
          <t>eng</t>
        </is>
      </c>
      <c r="P318" t="inlineStr">
        <is>
          <t>mnu</t>
        </is>
      </c>
      <c r="R318" t="inlineStr">
        <is>
          <t xml:space="preserve">BV </t>
        </is>
      </c>
      <c r="S318" t="n">
        <v>8</v>
      </c>
      <c r="T318" t="n">
        <v>8</v>
      </c>
      <c r="U318" t="inlineStr">
        <is>
          <t>2007-11-07</t>
        </is>
      </c>
      <c r="V318" t="inlineStr">
        <is>
          <t>2007-11-07</t>
        </is>
      </c>
      <c r="W318" t="inlineStr">
        <is>
          <t>1991-11-07</t>
        </is>
      </c>
      <c r="X318" t="inlineStr">
        <is>
          <t>1991-11-07</t>
        </is>
      </c>
      <c r="Y318" t="n">
        <v>113</v>
      </c>
      <c r="Z318" t="n">
        <v>88</v>
      </c>
      <c r="AA318" t="n">
        <v>89</v>
      </c>
      <c r="AB318" t="n">
        <v>1</v>
      </c>
      <c r="AC318" t="n">
        <v>1</v>
      </c>
      <c r="AD318" t="n">
        <v>8</v>
      </c>
      <c r="AE318" t="n">
        <v>8</v>
      </c>
      <c r="AF318" t="n">
        <v>0</v>
      </c>
      <c r="AG318" t="n">
        <v>0</v>
      </c>
      <c r="AH318" t="n">
        <v>3</v>
      </c>
      <c r="AI318" t="n">
        <v>3</v>
      </c>
      <c r="AJ318" t="n">
        <v>6</v>
      </c>
      <c r="AK318" t="n">
        <v>6</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HYPERLINK("https://creighton-primo.hosted.exlibrisgroup.com/primo-explore/search?tab=default_tab&amp;search_scope=EVERYTHING&amp;vid=01CRU&amp;lang=en_US&amp;offset=0&amp;query=any,contains,991000391749702656","Catalog Record")</f>
        <v/>
      </c>
      <c r="AT318">
        <f>HYPERLINK("http://www.worldcat.org/oclc/10557737","WorldCat Record")</f>
        <v/>
      </c>
      <c r="AU318" t="inlineStr">
        <is>
          <t>1090885367:eng</t>
        </is>
      </c>
      <c r="AV318" t="inlineStr">
        <is>
          <t>10557737</t>
        </is>
      </c>
      <c r="AW318" t="inlineStr">
        <is>
          <t>991000391749702656</t>
        </is>
      </c>
      <c r="AX318" t="inlineStr">
        <is>
          <t>991000391749702656</t>
        </is>
      </c>
      <c r="AY318" t="inlineStr">
        <is>
          <t>2271635290002656</t>
        </is>
      </c>
      <c r="AZ318" t="inlineStr">
        <is>
          <t>BOOK</t>
        </is>
      </c>
      <c r="BB318" t="inlineStr">
        <is>
          <t>9780814613559</t>
        </is>
      </c>
      <c r="BC318" t="inlineStr">
        <is>
          <t>32285000809888</t>
        </is>
      </c>
      <c r="BD318" t="inlineStr">
        <is>
          <t>893508732</t>
        </is>
      </c>
    </row>
    <row r="319">
      <c r="A319" t="inlineStr">
        <is>
          <t>No</t>
        </is>
      </c>
      <c r="B319" t="inlineStr">
        <is>
          <t>BV30 .D325</t>
        </is>
      </c>
      <c r="C319" t="inlineStr">
        <is>
          <t>0                      BV 0030000D  325</t>
        </is>
      </c>
      <c r="D319" t="inlineStr">
        <is>
          <t>Come, Lord Jesus : Biblical prayers with psalms and scripture readings / by Lucien Deiss.</t>
        </is>
      </c>
      <c r="F319" t="inlineStr">
        <is>
          <t>No</t>
        </is>
      </c>
      <c r="G319" t="inlineStr">
        <is>
          <t>1</t>
        </is>
      </c>
      <c r="H319" t="inlineStr">
        <is>
          <t>No</t>
        </is>
      </c>
      <c r="I319" t="inlineStr">
        <is>
          <t>No</t>
        </is>
      </c>
      <c r="J319" t="inlineStr">
        <is>
          <t>0</t>
        </is>
      </c>
      <c r="K319" t="inlineStr">
        <is>
          <t>Deiss, Lucien.</t>
        </is>
      </c>
      <c r="L319" t="inlineStr">
        <is>
          <t>Chicago : World Library Publications, c1981.</t>
        </is>
      </c>
      <c r="M319" t="inlineStr">
        <is>
          <t>1981</t>
        </is>
      </c>
      <c r="O319" t="inlineStr">
        <is>
          <t>eng</t>
        </is>
      </c>
      <c r="P319" t="inlineStr">
        <is>
          <t>ilu</t>
        </is>
      </c>
      <c r="R319" t="inlineStr">
        <is>
          <t xml:space="preserve">BV </t>
        </is>
      </c>
      <c r="S319" t="n">
        <v>4</v>
      </c>
      <c r="T319" t="n">
        <v>4</v>
      </c>
      <c r="U319" t="inlineStr">
        <is>
          <t>1993-11-15</t>
        </is>
      </c>
      <c r="V319" t="inlineStr">
        <is>
          <t>1993-11-15</t>
        </is>
      </c>
      <c r="W319" t="inlineStr">
        <is>
          <t>1991-11-07</t>
        </is>
      </c>
      <c r="X319" t="inlineStr">
        <is>
          <t>1991-11-07</t>
        </is>
      </c>
      <c r="Y319" t="n">
        <v>91</v>
      </c>
      <c r="Z319" t="n">
        <v>76</v>
      </c>
      <c r="AA319" t="n">
        <v>81</v>
      </c>
      <c r="AB319" t="n">
        <v>2</v>
      </c>
      <c r="AC319" t="n">
        <v>2</v>
      </c>
      <c r="AD319" t="n">
        <v>8</v>
      </c>
      <c r="AE319" t="n">
        <v>8</v>
      </c>
      <c r="AF319" t="n">
        <v>0</v>
      </c>
      <c r="AG319" t="n">
        <v>0</v>
      </c>
      <c r="AH319" t="n">
        <v>2</v>
      </c>
      <c r="AI319" t="n">
        <v>2</v>
      </c>
      <c r="AJ319" t="n">
        <v>7</v>
      </c>
      <c r="AK319" t="n">
        <v>7</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HYPERLINK("https://creighton-primo.hosted.exlibrisgroup.com/primo-explore/search?tab=default_tab&amp;search_scope=EVERYTHING&amp;vid=01CRU&amp;lang=en_US&amp;offset=0&amp;query=any,contains,991005169629702656","Catalog Record")</f>
        <v/>
      </c>
      <c r="AT319">
        <f>HYPERLINK("http://www.worldcat.org/oclc/7840378","WorldCat Record")</f>
        <v/>
      </c>
      <c r="AU319" t="inlineStr">
        <is>
          <t>4846615683:eng</t>
        </is>
      </c>
      <c r="AV319" t="inlineStr">
        <is>
          <t>7840378</t>
        </is>
      </c>
      <c r="AW319" t="inlineStr">
        <is>
          <t>991005169629702656</t>
        </is>
      </c>
      <c r="AX319" t="inlineStr">
        <is>
          <t>991005169629702656</t>
        </is>
      </c>
      <c r="AY319" t="inlineStr">
        <is>
          <t>2270483430002656</t>
        </is>
      </c>
      <c r="AZ319" t="inlineStr">
        <is>
          <t>BOOK</t>
        </is>
      </c>
      <c r="BB319" t="inlineStr">
        <is>
          <t>9780937690185</t>
        </is>
      </c>
      <c r="BC319" t="inlineStr">
        <is>
          <t>32285000809896</t>
        </is>
      </c>
      <c r="BD319" t="inlineStr">
        <is>
          <t>893338641</t>
        </is>
      </c>
    </row>
    <row r="320">
      <c r="A320" t="inlineStr">
        <is>
          <t>No</t>
        </is>
      </c>
      <c r="B320" t="inlineStr">
        <is>
          <t>BV30 .K4 1908</t>
        </is>
      </c>
      <c r="C320" t="inlineStr">
        <is>
          <t>0                      BV 0030000K  4           1908</t>
        </is>
      </c>
      <c r="D320" t="inlineStr">
        <is>
          <t>Heortology : a history of the Christian festivals from their origin to the present day / by Dr. K.A. Heinrich Kellner. Tr. with the author's permission from the second German edition by a priest of the diocese of Westminster.</t>
        </is>
      </c>
      <c r="F320" t="inlineStr">
        <is>
          <t>No</t>
        </is>
      </c>
      <c r="G320" t="inlineStr">
        <is>
          <t>1</t>
        </is>
      </c>
      <c r="H320" t="inlineStr">
        <is>
          <t>No</t>
        </is>
      </c>
      <c r="I320" t="inlineStr">
        <is>
          <t>No</t>
        </is>
      </c>
      <c r="J320" t="inlineStr">
        <is>
          <t>0</t>
        </is>
      </c>
      <c r="K320" t="inlineStr">
        <is>
          <t>Kellner, K. A. Heinrich (Karl Adam Heinrich), 1837-1915.</t>
        </is>
      </c>
      <c r="L320" t="inlineStr">
        <is>
          <t>London : K. Paul ; Trench : Trübner, 1908.</t>
        </is>
      </c>
      <c r="M320" t="inlineStr">
        <is>
          <t>1908</t>
        </is>
      </c>
      <c r="O320" t="inlineStr">
        <is>
          <t>eng</t>
        </is>
      </c>
      <c r="P320" t="inlineStr">
        <is>
          <t>enk</t>
        </is>
      </c>
      <c r="Q320" t="inlineStr">
        <is>
          <t>The international Catholic library, vol. xiv</t>
        </is>
      </c>
      <c r="R320" t="inlineStr">
        <is>
          <t xml:space="preserve">BV </t>
        </is>
      </c>
      <c r="S320" t="n">
        <v>1</v>
      </c>
      <c r="T320" t="n">
        <v>1</v>
      </c>
      <c r="U320" t="inlineStr">
        <is>
          <t>1992-11-02</t>
        </is>
      </c>
      <c r="V320" t="inlineStr">
        <is>
          <t>1992-11-02</t>
        </is>
      </c>
      <c r="W320" t="inlineStr">
        <is>
          <t>1991-11-07</t>
        </is>
      </c>
      <c r="X320" t="inlineStr">
        <is>
          <t>1991-11-07</t>
        </is>
      </c>
      <c r="Y320" t="n">
        <v>113</v>
      </c>
      <c r="Z320" t="n">
        <v>95</v>
      </c>
      <c r="AA320" t="n">
        <v>169</v>
      </c>
      <c r="AB320" t="n">
        <v>1</v>
      </c>
      <c r="AC320" t="n">
        <v>2</v>
      </c>
      <c r="AD320" t="n">
        <v>17</v>
      </c>
      <c r="AE320" t="n">
        <v>20</v>
      </c>
      <c r="AF320" t="n">
        <v>5</v>
      </c>
      <c r="AG320" t="n">
        <v>6</v>
      </c>
      <c r="AH320" t="n">
        <v>4</v>
      </c>
      <c r="AI320" t="n">
        <v>5</v>
      </c>
      <c r="AJ320" t="n">
        <v>13</v>
      </c>
      <c r="AK320" t="n">
        <v>13</v>
      </c>
      <c r="AL320" t="n">
        <v>0</v>
      </c>
      <c r="AM320" t="n">
        <v>1</v>
      </c>
      <c r="AN320" t="n">
        <v>0</v>
      </c>
      <c r="AO320" t="n">
        <v>0</v>
      </c>
      <c r="AP320" t="inlineStr">
        <is>
          <t>Yes</t>
        </is>
      </c>
      <c r="AQ320" t="inlineStr">
        <is>
          <t>No</t>
        </is>
      </c>
      <c r="AR320">
        <f>HYPERLINK("http://catalog.hathitrust.org/Record/001400716","HathiTrust Record")</f>
        <v/>
      </c>
      <c r="AS320">
        <f>HYPERLINK("https://creighton-primo.hosted.exlibrisgroup.com/primo-explore/search?tab=default_tab&amp;search_scope=EVERYTHING&amp;vid=01CRU&amp;lang=en_US&amp;offset=0&amp;query=any,contains,991003138289702656","Catalog Record")</f>
        <v/>
      </c>
      <c r="AT320">
        <f>HYPERLINK("http://www.worldcat.org/oclc/679857","WorldCat Record")</f>
        <v/>
      </c>
      <c r="AU320" t="inlineStr">
        <is>
          <t>1748384:eng</t>
        </is>
      </c>
      <c r="AV320" t="inlineStr">
        <is>
          <t>679857</t>
        </is>
      </c>
      <c r="AW320" t="inlineStr">
        <is>
          <t>991003138289702656</t>
        </is>
      </c>
      <c r="AX320" t="inlineStr">
        <is>
          <t>991003138289702656</t>
        </is>
      </c>
      <c r="AY320" t="inlineStr">
        <is>
          <t>2269818590002656</t>
        </is>
      </c>
      <c r="AZ320" t="inlineStr">
        <is>
          <t>BOOK</t>
        </is>
      </c>
      <c r="BC320" t="inlineStr">
        <is>
          <t>32285000809920</t>
        </is>
      </c>
      <c r="BD320" t="inlineStr">
        <is>
          <t>893227727</t>
        </is>
      </c>
    </row>
    <row r="321">
      <c r="A321" t="inlineStr">
        <is>
          <t>No</t>
        </is>
      </c>
      <c r="B321" t="inlineStr">
        <is>
          <t>BV30 .S75 1958</t>
        </is>
      </c>
      <c r="C321" t="inlineStr">
        <is>
          <t>0                      BV 0030000S  75          1958</t>
        </is>
      </c>
      <c r="D321" t="inlineStr">
        <is>
          <t>With Christ through the year : the liturgical year in word and symbols / by Bernard Strasser ; illustrated by M. A. Justina Knapp.</t>
        </is>
      </c>
      <c r="F321" t="inlineStr">
        <is>
          <t>No</t>
        </is>
      </c>
      <c r="G321" t="inlineStr">
        <is>
          <t>1</t>
        </is>
      </c>
      <c r="H321" t="inlineStr">
        <is>
          <t>No</t>
        </is>
      </c>
      <c r="I321" t="inlineStr">
        <is>
          <t>No</t>
        </is>
      </c>
      <c r="J321" t="inlineStr">
        <is>
          <t>0</t>
        </is>
      </c>
      <c r="K321" t="inlineStr">
        <is>
          <t>Strasser, Bernard, 1895-</t>
        </is>
      </c>
      <c r="L321" t="inlineStr">
        <is>
          <t>Milwaukee : Bruce Pub. Co., [1958]</t>
        </is>
      </c>
      <c r="M321" t="inlineStr">
        <is>
          <t>1958</t>
        </is>
      </c>
      <c r="N321" t="inlineStr">
        <is>
          <t>[New ed.]</t>
        </is>
      </c>
      <c r="O321" t="inlineStr">
        <is>
          <t>eng</t>
        </is>
      </c>
      <c r="P321" t="inlineStr">
        <is>
          <t xml:space="preserve">xx </t>
        </is>
      </c>
      <c r="R321" t="inlineStr">
        <is>
          <t xml:space="preserve">BV </t>
        </is>
      </c>
      <c r="S321" t="n">
        <v>1</v>
      </c>
      <c r="T321" t="n">
        <v>1</v>
      </c>
      <c r="U321" t="inlineStr">
        <is>
          <t>1999-01-11</t>
        </is>
      </c>
      <c r="V321" t="inlineStr">
        <is>
          <t>1999-01-11</t>
        </is>
      </c>
      <c r="W321" t="inlineStr">
        <is>
          <t>1990-11-01</t>
        </is>
      </c>
      <c r="X321" t="inlineStr">
        <is>
          <t>1990-11-01</t>
        </is>
      </c>
      <c r="Y321" t="n">
        <v>32</v>
      </c>
      <c r="Z321" t="n">
        <v>32</v>
      </c>
      <c r="AA321" t="n">
        <v>120</v>
      </c>
      <c r="AB321" t="n">
        <v>3</v>
      </c>
      <c r="AC321" t="n">
        <v>3</v>
      </c>
      <c r="AD321" t="n">
        <v>4</v>
      </c>
      <c r="AE321" t="n">
        <v>24</v>
      </c>
      <c r="AF321" t="n">
        <v>1</v>
      </c>
      <c r="AG321" t="n">
        <v>6</v>
      </c>
      <c r="AH321" t="n">
        <v>0</v>
      </c>
      <c r="AI321" t="n">
        <v>7</v>
      </c>
      <c r="AJ321" t="n">
        <v>4</v>
      </c>
      <c r="AK321" t="n">
        <v>18</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HYPERLINK("https://creighton-primo.hosted.exlibrisgroup.com/primo-explore/search?tab=default_tab&amp;search_scope=EVERYTHING&amp;vid=01CRU&amp;lang=en_US&amp;offset=0&amp;query=any,contains,991004328059702656","Catalog Record")</f>
        <v/>
      </c>
      <c r="AT321">
        <f>HYPERLINK("http://www.worldcat.org/oclc/3050177","WorldCat Record")</f>
        <v/>
      </c>
      <c r="AU321" t="inlineStr">
        <is>
          <t>6783792:eng</t>
        </is>
      </c>
      <c r="AV321" t="inlineStr">
        <is>
          <t>3050177</t>
        </is>
      </c>
      <c r="AW321" t="inlineStr">
        <is>
          <t>991004328059702656</t>
        </is>
      </c>
      <c r="AX321" t="inlineStr">
        <is>
          <t>991004328059702656</t>
        </is>
      </c>
      <c r="AY321" t="inlineStr">
        <is>
          <t>2264479240002656</t>
        </is>
      </c>
      <c r="AZ321" t="inlineStr">
        <is>
          <t>BOOK</t>
        </is>
      </c>
      <c r="BC321" t="inlineStr">
        <is>
          <t>32285000296433</t>
        </is>
      </c>
      <c r="BD321" t="inlineStr">
        <is>
          <t>893436150</t>
        </is>
      </c>
    </row>
    <row r="322">
      <c r="A322" t="inlineStr">
        <is>
          <t>No</t>
        </is>
      </c>
      <c r="B322" t="inlineStr">
        <is>
          <t>BV305 .J84</t>
        </is>
      </c>
      <c r="C322" t="inlineStr">
        <is>
          <t>0                      BV 0305000J  84</t>
        </is>
      </c>
      <c r="D322" t="inlineStr">
        <is>
          <t>A dictionary of hymnology : setting forth the origin of Christian hymns of all ages and nations / together with biographical and critical notices of their authors and translators ; edited by John Julian.</t>
        </is>
      </c>
      <c r="F322" t="inlineStr">
        <is>
          <t>No</t>
        </is>
      </c>
      <c r="G322" t="inlineStr">
        <is>
          <t>1</t>
        </is>
      </c>
      <c r="H322" t="inlineStr">
        <is>
          <t>No</t>
        </is>
      </c>
      <c r="I322" t="inlineStr">
        <is>
          <t>No</t>
        </is>
      </c>
      <c r="J322" t="inlineStr">
        <is>
          <t>0</t>
        </is>
      </c>
      <c r="K322" t="inlineStr">
        <is>
          <t>Julian, John, 1839-1913.</t>
        </is>
      </c>
      <c r="L322" t="inlineStr">
        <is>
          <t>London, J. Murray, 1892.</t>
        </is>
      </c>
      <c r="M322" t="inlineStr">
        <is>
          <t>1892</t>
        </is>
      </c>
      <c r="O322" t="inlineStr">
        <is>
          <t>eng</t>
        </is>
      </c>
      <c r="P322" t="inlineStr">
        <is>
          <t>enk</t>
        </is>
      </c>
      <c r="R322" t="inlineStr">
        <is>
          <t xml:space="preserve">BV </t>
        </is>
      </c>
      <c r="S322" t="n">
        <v>2</v>
      </c>
      <c r="T322" t="n">
        <v>2</v>
      </c>
      <c r="U322" t="inlineStr">
        <is>
          <t>2007-09-12</t>
        </is>
      </c>
      <c r="V322" t="inlineStr">
        <is>
          <t>2007-09-12</t>
        </is>
      </c>
      <c r="W322" t="inlineStr">
        <is>
          <t>1992-01-08</t>
        </is>
      </c>
      <c r="X322" t="inlineStr">
        <is>
          <t>1992-01-08</t>
        </is>
      </c>
      <c r="Y322" t="n">
        <v>9</v>
      </c>
      <c r="Z322" t="n">
        <v>9</v>
      </c>
      <c r="AA322" t="n">
        <v>149</v>
      </c>
      <c r="AB322" t="n">
        <v>1</v>
      </c>
      <c r="AC322" t="n">
        <v>2</v>
      </c>
      <c r="AD322" t="n">
        <v>0</v>
      </c>
      <c r="AE322" t="n">
        <v>12</v>
      </c>
      <c r="AF322" t="n">
        <v>0</v>
      </c>
      <c r="AG322" t="n">
        <v>2</v>
      </c>
      <c r="AH322" t="n">
        <v>0</v>
      </c>
      <c r="AI322" t="n">
        <v>3</v>
      </c>
      <c r="AJ322" t="n">
        <v>0</v>
      </c>
      <c r="AK322" t="n">
        <v>7</v>
      </c>
      <c r="AL322" t="n">
        <v>0</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HYPERLINK("https://creighton-primo.hosted.exlibrisgroup.com/primo-explore/search?tab=default_tab&amp;search_scope=EVERYTHING&amp;vid=01CRU&amp;lang=en_US&amp;offset=0&amp;query=any,contains,991004331929702656","Catalog Record")</f>
        <v/>
      </c>
      <c r="AT322">
        <f>HYPERLINK("http://www.worldcat.org/oclc/3063435","WorldCat Record")</f>
        <v/>
      </c>
      <c r="AU322" t="inlineStr">
        <is>
          <t>5086015527:eng</t>
        </is>
      </c>
      <c r="AV322" t="inlineStr">
        <is>
          <t>3063435</t>
        </is>
      </c>
      <c r="AW322" t="inlineStr">
        <is>
          <t>991004331929702656</t>
        </is>
      </c>
      <c r="AX322" t="inlineStr">
        <is>
          <t>991004331929702656</t>
        </is>
      </c>
      <c r="AY322" t="inlineStr">
        <is>
          <t>2271352230002656</t>
        </is>
      </c>
      <c r="AZ322" t="inlineStr">
        <is>
          <t>BOOK</t>
        </is>
      </c>
      <c r="BC322" t="inlineStr">
        <is>
          <t>32285000902238</t>
        </is>
      </c>
      <c r="BD322" t="inlineStr">
        <is>
          <t>893624606</t>
        </is>
      </c>
    </row>
    <row r="323">
      <c r="A323" t="inlineStr">
        <is>
          <t>No</t>
        </is>
      </c>
      <c r="B323" t="inlineStr">
        <is>
          <t>BV312 .A34 1988</t>
        </is>
      </c>
      <c r="C323" t="inlineStr">
        <is>
          <t>0                      BV 0312000A  34          1988</t>
        </is>
      </c>
      <c r="D323" t="inlineStr">
        <is>
          <t>Class and idol in the English hymn / Lionel Adey.</t>
        </is>
      </c>
      <c r="F323" t="inlineStr">
        <is>
          <t>No</t>
        </is>
      </c>
      <c r="G323" t="inlineStr">
        <is>
          <t>1</t>
        </is>
      </c>
      <c r="H323" t="inlineStr">
        <is>
          <t>No</t>
        </is>
      </c>
      <c r="I323" t="inlineStr">
        <is>
          <t>No</t>
        </is>
      </c>
      <c r="J323" t="inlineStr">
        <is>
          <t>0</t>
        </is>
      </c>
      <c r="K323" t="inlineStr">
        <is>
          <t>Adey, Lionel.</t>
        </is>
      </c>
      <c r="L323" t="inlineStr">
        <is>
          <t>Vancouver : University of British Columbia Press, 1988.</t>
        </is>
      </c>
      <c r="M323" t="inlineStr">
        <is>
          <t>1988</t>
        </is>
      </c>
      <c r="O323" t="inlineStr">
        <is>
          <t>eng</t>
        </is>
      </c>
      <c r="P323" t="inlineStr">
        <is>
          <t>bcc</t>
        </is>
      </c>
      <c r="R323" t="inlineStr">
        <is>
          <t xml:space="preserve">BV </t>
        </is>
      </c>
      <c r="S323" t="n">
        <v>4</v>
      </c>
      <c r="T323" t="n">
        <v>4</v>
      </c>
      <c r="U323" t="inlineStr">
        <is>
          <t>2005-09-13</t>
        </is>
      </c>
      <c r="V323" t="inlineStr">
        <is>
          <t>2005-09-13</t>
        </is>
      </c>
      <c r="W323" t="inlineStr">
        <is>
          <t>1989-11-16</t>
        </is>
      </c>
      <c r="X323" t="inlineStr">
        <is>
          <t>1989-11-16</t>
        </is>
      </c>
      <c r="Y323" t="n">
        <v>406</v>
      </c>
      <c r="Z323" t="n">
        <v>319</v>
      </c>
      <c r="AA323" t="n">
        <v>656</v>
      </c>
      <c r="AB323" t="n">
        <v>2</v>
      </c>
      <c r="AC323" t="n">
        <v>6</v>
      </c>
      <c r="AD323" t="n">
        <v>17</v>
      </c>
      <c r="AE323" t="n">
        <v>32</v>
      </c>
      <c r="AF323" t="n">
        <v>6</v>
      </c>
      <c r="AG323" t="n">
        <v>11</v>
      </c>
      <c r="AH323" t="n">
        <v>4</v>
      </c>
      <c r="AI323" t="n">
        <v>8</v>
      </c>
      <c r="AJ323" t="n">
        <v>10</v>
      </c>
      <c r="AK323" t="n">
        <v>13</v>
      </c>
      <c r="AL323" t="n">
        <v>1</v>
      </c>
      <c r="AM323" t="n">
        <v>5</v>
      </c>
      <c r="AN323" t="n">
        <v>0</v>
      </c>
      <c r="AO323" t="n">
        <v>1</v>
      </c>
      <c r="AP323" t="inlineStr">
        <is>
          <t>No</t>
        </is>
      </c>
      <c r="AQ323" t="inlineStr">
        <is>
          <t>No</t>
        </is>
      </c>
      <c r="AS323">
        <f>HYPERLINK("https://creighton-primo.hosted.exlibrisgroup.com/primo-explore/search?tab=default_tab&amp;search_scope=EVERYTHING&amp;vid=01CRU&amp;lang=en_US&amp;offset=0&amp;query=any,contains,991001408139702656","Catalog Record")</f>
        <v/>
      </c>
      <c r="AT323">
        <f>HYPERLINK("http://www.worldcat.org/oclc/24010128","WorldCat Record")</f>
        <v/>
      </c>
      <c r="AU323" t="inlineStr">
        <is>
          <t>24984372:eng</t>
        </is>
      </c>
      <c r="AV323" t="inlineStr">
        <is>
          <t>24010128</t>
        </is>
      </c>
      <c r="AW323" t="inlineStr">
        <is>
          <t>991001408139702656</t>
        </is>
      </c>
      <c r="AX323" t="inlineStr">
        <is>
          <t>991001408139702656</t>
        </is>
      </c>
      <c r="AY323" t="inlineStr">
        <is>
          <t>2272041590002656</t>
        </is>
      </c>
      <c r="AZ323" t="inlineStr">
        <is>
          <t>BOOK</t>
        </is>
      </c>
      <c r="BB323" t="inlineStr">
        <is>
          <t>9780774803045</t>
        </is>
      </c>
      <c r="BC323" t="inlineStr">
        <is>
          <t>32285000013028</t>
        </is>
      </c>
      <c r="BD323" t="inlineStr">
        <is>
          <t>893709236</t>
        </is>
      </c>
    </row>
    <row r="324">
      <c r="A324" t="inlineStr">
        <is>
          <t>No</t>
        </is>
      </c>
      <c r="B324" t="inlineStr">
        <is>
          <t>BV312 .A76 1995</t>
        </is>
      </c>
      <c r="C324" t="inlineStr">
        <is>
          <t>0                      BV 0312000A  76          1995</t>
        </is>
      </c>
      <c r="D324" t="inlineStr">
        <is>
          <t>The English hymn : studies in a genre / Richard Arnold.</t>
        </is>
      </c>
      <c r="F324" t="inlineStr">
        <is>
          <t>No</t>
        </is>
      </c>
      <c r="G324" t="inlineStr">
        <is>
          <t>1</t>
        </is>
      </c>
      <c r="H324" t="inlineStr">
        <is>
          <t>No</t>
        </is>
      </c>
      <c r="I324" t="inlineStr">
        <is>
          <t>No</t>
        </is>
      </c>
      <c r="J324" t="inlineStr">
        <is>
          <t>0</t>
        </is>
      </c>
      <c r="K324" t="inlineStr">
        <is>
          <t>Arnold, Richard, 1954-</t>
        </is>
      </c>
      <c r="L324" t="inlineStr">
        <is>
          <t>New York : P. Lang, c1995.</t>
        </is>
      </c>
      <c r="M324" t="inlineStr">
        <is>
          <t>1995</t>
        </is>
      </c>
      <c r="O324" t="inlineStr">
        <is>
          <t>eng</t>
        </is>
      </c>
      <c r="P324" t="inlineStr">
        <is>
          <t>nyu</t>
        </is>
      </c>
      <c r="R324" t="inlineStr">
        <is>
          <t xml:space="preserve">BV </t>
        </is>
      </c>
      <c r="S324" t="n">
        <v>3</v>
      </c>
      <c r="T324" t="n">
        <v>3</v>
      </c>
      <c r="U324" t="inlineStr">
        <is>
          <t>2005-09-13</t>
        </is>
      </c>
      <c r="V324" t="inlineStr">
        <is>
          <t>2005-09-13</t>
        </is>
      </c>
      <c r="W324" t="inlineStr">
        <is>
          <t>1995-11-16</t>
        </is>
      </c>
      <c r="X324" t="inlineStr">
        <is>
          <t>1995-11-16</t>
        </is>
      </c>
      <c r="Y324" t="n">
        <v>168</v>
      </c>
      <c r="Z324" t="n">
        <v>112</v>
      </c>
      <c r="AA324" t="n">
        <v>112</v>
      </c>
      <c r="AB324" t="n">
        <v>2</v>
      </c>
      <c r="AC324" t="n">
        <v>2</v>
      </c>
      <c r="AD324" t="n">
        <v>7</v>
      </c>
      <c r="AE324" t="n">
        <v>7</v>
      </c>
      <c r="AF324" t="n">
        <v>1</v>
      </c>
      <c r="AG324" t="n">
        <v>1</v>
      </c>
      <c r="AH324" t="n">
        <v>2</v>
      </c>
      <c r="AI324" t="n">
        <v>2</v>
      </c>
      <c r="AJ324" t="n">
        <v>5</v>
      </c>
      <c r="AK324" t="n">
        <v>5</v>
      </c>
      <c r="AL324" t="n">
        <v>1</v>
      </c>
      <c r="AM324" t="n">
        <v>1</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HYPERLINK("https://creighton-primo.hosted.exlibrisgroup.com/primo-explore/search?tab=default_tab&amp;search_scope=EVERYTHING&amp;vid=01CRU&amp;lang=en_US&amp;offset=0&amp;query=any,contains,991002291269702656","Catalog Record")</f>
        <v/>
      </c>
      <c r="AT324">
        <f>HYPERLINK("http://www.worldcat.org/oclc/29702608","WorldCat Record")</f>
        <v/>
      </c>
      <c r="AU324" t="inlineStr">
        <is>
          <t>304134019:eng</t>
        </is>
      </c>
      <c r="AV324" t="inlineStr">
        <is>
          <t>29702608</t>
        </is>
      </c>
      <c r="AW324" t="inlineStr">
        <is>
          <t>991002291269702656</t>
        </is>
      </c>
      <c r="AX324" t="inlineStr">
        <is>
          <t>991002291269702656</t>
        </is>
      </c>
      <c r="AY324" t="inlineStr">
        <is>
          <t>2261263630002656</t>
        </is>
      </c>
      <c r="AZ324" t="inlineStr">
        <is>
          <t>BOOK</t>
        </is>
      </c>
      <c r="BB324" t="inlineStr">
        <is>
          <t>9780820424859</t>
        </is>
      </c>
      <c r="BC324" t="inlineStr">
        <is>
          <t>32285002103678</t>
        </is>
      </c>
      <c r="BD324" t="inlineStr">
        <is>
          <t>893439993</t>
        </is>
      </c>
    </row>
    <row r="325">
      <c r="A325" t="inlineStr">
        <is>
          <t>No</t>
        </is>
      </c>
      <c r="B325" t="inlineStr">
        <is>
          <t>BV312 .D33 1993</t>
        </is>
      </c>
      <c r="C325" t="inlineStr">
        <is>
          <t>0                      BV 0312000D  33          1993</t>
        </is>
      </c>
      <c r="D325" t="inlineStr">
        <is>
          <t>The eighteenth-century hymn in England / by Donald Davie.</t>
        </is>
      </c>
      <c r="F325" t="inlineStr">
        <is>
          <t>No</t>
        </is>
      </c>
      <c r="G325" t="inlineStr">
        <is>
          <t>1</t>
        </is>
      </c>
      <c r="H325" t="inlineStr">
        <is>
          <t>No</t>
        </is>
      </c>
      <c r="I325" t="inlineStr">
        <is>
          <t>No</t>
        </is>
      </c>
      <c r="J325" t="inlineStr">
        <is>
          <t>0</t>
        </is>
      </c>
      <c r="K325" t="inlineStr">
        <is>
          <t>Davie, Donald.</t>
        </is>
      </c>
      <c r="L325" t="inlineStr">
        <is>
          <t>Cambridge ; New York, NY, USA : Cambridge University Press, 1993.</t>
        </is>
      </c>
      <c r="M325" t="inlineStr">
        <is>
          <t>1993</t>
        </is>
      </c>
      <c r="O325" t="inlineStr">
        <is>
          <t>eng</t>
        </is>
      </c>
      <c r="P325" t="inlineStr">
        <is>
          <t>enk</t>
        </is>
      </c>
      <c r="Q325" t="inlineStr">
        <is>
          <t>Cambridge studies in eighteenth-century English literature and thought ; 19</t>
        </is>
      </c>
      <c r="R325" t="inlineStr">
        <is>
          <t xml:space="preserve">BV </t>
        </is>
      </c>
      <c r="S325" t="n">
        <v>3</v>
      </c>
      <c r="T325" t="n">
        <v>3</v>
      </c>
      <c r="U325" t="inlineStr">
        <is>
          <t>2005-09-13</t>
        </is>
      </c>
      <c r="V325" t="inlineStr">
        <is>
          <t>2005-09-13</t>
        </is>
      </c>
      <c r="W325" t="inlineStr">
        <is>
          <t>1996-04-25</t>
        </is>
      </c>
      <c r="X325" t="inlineStr">
        <is>
          <t>1996-04-25</t>
        </is>
      </c>
      <c r="Y325" t="n">
        <v>384</v>
      </c>
      <c r="Z325" t="n">
        <v>268</v>
      </c>
      <c r="AA325" t="n">
        <v>274</v>
      </c>
      <c r="AB325" t="n">
        <v>2</v>
      </c>
      <c r="AC325" t="n">
        <v>2</v>
      </c>
      <c r="AD325" t="n">
        <v>16</v>
      </c>
      <c r="AE325" t="n">
        <v>16</v>
      </c>
      <c r="AF325" t="n">
        <v>5</v>
      </c>
      <c r="AG325" t="n">
        <v>5</v>
      </c>
      <c r="AH325" t="n">
        <v>5</v>
      </c>
      <c r="AI325" t="n">
        <v>5</v>
      </c>
      <c r="AJ325" t="n">
        <v>10</v>
      </c>
      <c r="AK325" t="n">
        <v>10</v>
      </c>
      <c r="AL325" t="n">
        <v>1</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HYPERLINK("https://creighton-primo.hosted.exlibrisgroup.com/primo-explore/search?tab=default_tab&amp;search_scope=EVERYTHING&amp;vid=01CRU&amp;lang=en_US&amp;offset=0&amp;query=any,contains,991002132359702656","Catalog Record")</f>
        <v/>
      </c>
      <c r="AT325">
        <f>HYPERLINK("http://www.worldcat.org/oclc/27337732","WorldCat Record")</f>
        <v/>
      </c>
      <c r="AU325" t="inlineStr">
        <is>
          <t>342617:eng</t>
        </is>
      </c>
      <c r="AV325" t="inlineStr">
        <is>
          <t>27337732</t>
        </is>
      </c>
      <c r="AW325" t="inlineStr">
        <is>
          <t>991002132359702656</t>
        </is>
      </c>
      <c r="AX325" t="inlineStr">
        <is>
          <t>991002132359702656</t>
        </is>
      </c>
      <c r="AY325" t="inlineStr">
        <is>
          <t>2270925260002656</t>
        </is>
      </c>
      <c r="AZ325" t="inlineStr">
        <is>
          <t>BOOK</t>
        </is>
      </c>
      <c r="BB325" t="inlineStr">
        <is>
          <t>9780521381680</t>
        </is>
      </c>
      <c r="BC325" t="inlineStr">
        <is>
          <t>32285002157807</t>
        </is>
      </c>
      <c r="BD325" t="inlineStr">
        <is>
          <t>893341068</t>
        </is>
      </c>
    </row>
    <row r="326">
      <c r="A326" t="inlineStr">
        <is>
          <t>No</t>
        </is>
      </c>
      <c r="B326" t="inlineStr">
        <is>
          <t>BV312 .T3</t>
        </is>
      </c>
      <c r="C326" t="inlineStr">
        <is>
          <t>0                      BV 0312000T  3</t>
        </is>
      </c>
      <c r="D326" t="inlineStr">
        <is>
          <t>Make a joyful noise unto the Lord : hymns as a reflection of Victorian social attitudes / by Susan S. Tamke.</t>
        </is>
      </c>
      <c r="F326" t="inlineStr">
        <is>
          <t>No</t>
        </is>
      </c>
      <c r="G326" t="inlineStr">
        <is>
          <t>1</t>
        </is>
      </c>
      <c r="H326" t="inlineStr">
        <is>
          <t>No</t>
        </is>
      </c>
      <c r="I326" t="inlineStr">
        <is>
          <t>No</t>
        </is>
      </c>
      <c r="J326" t="inlineStr">
        <is>
          <t>0</t>
        </is>
      </c>
      <c r="K326" t="inlineStr">
        <is>
          <t>Tamke, Susan S.</t>
        </is>
      </c>
      <c r="L326" t="inlineStr">
        <is>
          <t>[Athens] : Ohio University Press, c1978.</t>
        </is>
      </c>
      <c r="M326" t="inlineStr">
        <is>
          <t>1978</t>
        </is>
      </c>
      <c r="O326" t="inlineStr">
        <is>
          <t>eng</t>
        </is>
      </c>
      <c r="P326" t="inlineStr">
        <is>
          <t>ohu</t>
        </is>
      </c>
      <c r="R326" t="inlineStr">
        <is>
          <t xml:space="preserve">BV </t>
        </is>
      </c>
      <c r="S326" t="n">
        <v>1</v>
      </c>
      <c r="T326" t="n">
        <v>1</v>
      </c>
      <c r="U326" t="inlineStr">
        <is>
          <t>1993-08-11</t>
        </is>
      </c>
      <c r="V326" t="inlineStr">
        <is>
          <t>1993-08-11</t>
        </is>
      </c>
      <c r="W326" t="inlineStr">
        <is>
          <t>1992-01-08</t>
        </is>
      </c>
      <c r="X326" t="inlineStr">
        <is>
          <t>1992-01-08</t>
        </is>
      </c>
      <c r="Y326" t="n">
        <v>649</v>
      </c>
      <c r="Z326" t="n">
        <v>552</v>
      </c>
      <c r="AA326" t="n">
        <v>558</v>
      </c>
      <c r="AB326" t="n">
        <v>3</v>
      </c>
      <c r="AC326" t="n">
        <v>3</v>
      </c>
      <c r="AD326" t="n">
        <v>20</v>
      </c>
      <c r="AE326" t="n">
        <v>20</v>
      </c>
      <c r="AF326" t="n">
        <v>7</v>
      </c>
      <c r="AG326" t="n">
        <v>7</v>
      </c>
      <c r="AH326" t="n">
        <v>4</v>
      </c>
      <c r="AI326" t="n">
        <v>4</v>
      </c>
      <c r="AJ326" t="n">
        <v>12</v>
      </c>
      <c r="AK326" t="n">
        <v>12</v>
      </c>
      <c r="AL326" t="n">
        <v>2</v>
      </c>
      <c r="AM326" t="n">
        <v>2</v>
      </c>
      <c r="AN326" t="n">
        <v>0</v>
      </c>
      <c r="AO326" t="n">
        <v>0</v>
      </c>
      <c r="AP326" t="inlineStr">
        <is>
          <t>No</t>
        </is>
      </c>
      <c r="AQ326" t="inlineStr">
        <is>
          <t>Yes</t>
        </is>
      </c>
      <c r="AR326">
        <f>HYPERLINK("http://catalog.hathitrust.org/Record/000179353","HathiTrust Record")</f>
        <v/>
      </c>
      <c r="AS326">
        <f>HYPERLINK("https://creighton-primo.hosted.exlibrisgroup.com/primo-explore/search?tab=default_tab&amp;search_scope=EVERYTHING&amp;vid=01CRU&amp;lang=en_US&amp;offset=0&amp;query=any,contains,991004588059702656","Catalog Record")</f>
        <v/>
      </c>
      <c r="AT326">
        <f>HYPERLINK("http://www.worldcat.org/oclc/4101355","WorldCat Record")</f>
        <v/>
      </c>
      <c r="AU326" t="inlineStr">
        <is>
          <t>1004063675:eng</t>
        </is>
      </c>
      <c r="AV326" t="inlineStr">
        <is>
          <t>4101355</t>
        </is>
      </c>
      <c r="AW326" t="inlineStr">
        <is>
          <t>991004588059702656</t>
        </is>
      </c>
      <c r="AX326" t="inlineStr">
        <is>
          <t>991004588059702656</t>
        </is>
      </c>
      <c r="AY326" t="inlineStr">
        <is>
          <t>2269839460002656</t>
        </is>
      </c>
      <c r="AZ326" t="inlineStr">
        <is>
          <t>BOOK</t>
        </is>
      </c>
      <c r="BB326" t="inlineStr">
        <is>
          <t>9780821403716</t>
        </is>
      </c>
      <c r="BC326" t="inlineStr">
        <is>
          <t>32285000902261</t>
        </is>
      </c>
      <c r="BD326" t="inlineStr">
        <is>
          <t>893712793</t>
        </is>
      </c>
    </row>
    <row r="327">
      <c r="A327" t="inlineStr">
        <is>
          <t>No</t>
        </is>
      </c>
      <c r="B327" t="inlineStr">
        <is>
          <t>BV313 .H63 1997</t>
        </is>
      </c>
      <c r="C327" t="inlineStr">
        <is>
          <t>0                      BV 0313000H  63          1997</t>
        </is>
      </c>
      <c r="D327" t="inlineStr">
        <is>
          <t>I sing for I cannot be silent : the feminization of American hymnody, 1870-1920 / June Hadden Hobbs.</t>
        </is>
      </c>
      <c r="F327" t="inlineStr">
        <is>
          <t>No</t>
        </is>
      </c>
      <c r="G327" t="inlineStr">
        <is>
          <t>1</t>
        </is>
      </c>
      <c r="H327" t="inlineStr">
        <is>
          <t>No</t>
        </is>
      </c>
      <c r="I327" t="inlineStr">
        <is>
          <t>No</t>
        </is>
      </c>
      <c r="J327" t="inlineStr">
        <is>
          <t>0</t>
        </is>
      </c>
      <c r="K327" t="inlineStr">
        <is>
          <t>Hobbs, June Hadden, 1948-</t>
        </is>
      </c>
      <c r="L327" t="inlineStr">
        <is>
          <t>Pittsburgh, Pa. : University of Pittsburgh Press, c1997.</t>
        </is>
      </c>
      <c r="M327" t="inlineStr">
        <is>
          <t>1997</t>
        </is>
      </c>
      <c r="O327" t="inlineStr">
        <is>
          <t>eng</t>
        </is>
      </c>
      <c r="P327" t="inlineStr">
        <is>
          <t>pau</t>
        </is>
      </c>
      <c r="Q327" t="inlineStr">
        <is>
          <t>Pittsburgh series in composition, literacy, and culture</t>
        </is>
      </c>
      <c r="R327" t="inlineStr">
        <is>
          <t xml:space="preserve">BV </t>
        </is>
      </c>
      <c r="S327" t="n">
        <v>4</v>
      </c>
      <c r="T327" t="n">
        <v>4</v>
      </c>
      <c r="U327" t="inlineStr">
        <is>
          <t>2000-09-13</t>
        </is>
      </c>
      <c r="V327" t="inlineStr">
        <is>
          <t>2000-09-13</t>
        </is>
      </c>
      <c r="W327" t="inlineStr">
        <is>
          <t>2000-09-13</t>
        </is>
      </c>
      <c r="X327" t="inlineStr">
        <is>
          <t>2000-09-13</t>
        </is>
      </c>
      <c r="Y327" t="n">
        <v>394</v>
      </c>
      <c r="Z327" t="n">
        <v>360</v>
      </c>
      <c r="AA327" t="n">
        <v>1070</v>
      </c>
      <c r="AB327" t="n">
        <v>4</v>
      </c>
      <c r="AC327" t="n">
        <v>5</v>
      </c>
      <c r="AD327" t="n">
        <v>17</v>
      </c>
      <c r="AE327" t="n">
        <v>26</v>
      </c>
      <c r="AF327" t="n">
        <v>4</v>
      </c>
      <c r="AG327" t="n">
        <v>10</v>
      </c>
      <c r="AH327" t="n">
        <v>3</v>
      </c>
      <c r="AI327" t="n">
        <v>5</v>
      </c>
      <c r="AJ327" t="n">
        <v>10</v>
      </c>
      <c r="AK327" t="n">
        <v>12</v>
      </c>
      <c r="AL327" t="n">
        <v>3</v>
      </c>
      <c r="AM327" t="n">
        <v>4</v>
      </c>
      <c r="AN327" t="n">
        <v>0</v>
      </c>
      <c r="AO327" t="n">
        <v>0</v>
      </c>
      <c r="AP327" t="inlineStr">
        <is>
          <t>No</t>
        </is>
      </c>
      <c r="AQ327" t="inlineStr">
        <is>
          <t>Yes</t>
        </is>
      </c>
      <c r="AR327">
        <f>HYPERLINK("http://catalog.hathitrust.org/Record/003949467","HathiTrust Record")</f>
        <v/>
      </c>
      <c r="AS327">
        <f>HYPERLINK("https://creighton-primo.hosted.exlibrisgroup.com/primo-explore/search?tab=default_tab&amp;search_scope=EVERYTHING&amp;vid=01CRU&amp;lang=en_US&amp;offset=0&amp;query=any,contains,991003251149702656","Catalog Record")</f>
        <v/>
      </c>
      <c r="AT327">
        <f>HYPERLINK("http://www.worldcat.org/oclc/36728444","WorldCat Record")</f>
        <v/>
      </c>
      <c r="AU327" t="inlineStr">
        <is>
          <t>626965:eng</t>
        </is>
      </c>
      <c r="AV327" t="inlineStr">
        <is>
          <t>36728444</t>
        </is>
      </c>
      <c r="AW327" t="inlineStr">
        <is>
          <t>991003251149702656</t>
        </is>
      </c>
      <c r="AX327" t="inlineStr">
        <is>
          <t>991003251149702656</t>
        </is>
      </c>
      <c r="AY327" t="inlineStr">
        <is>
          <t>2255111930002656</t>
        </is>
      </c>
      <c r="AZ327" t="inlineStr">
        <is>
          <t>BOOK</t>
        </is>
      </c>
      <c r="BB327" t="inlineStr">
        <is>
          <t>9780822939900</t>
        </is>
      </c>
      <c r="BC327" t="inlineStr">
        <is>
          <t>32285003761722</t>
        </is>
      </c>
      <c r="BD327" t="inlineStr">
        <is>
          <t>893604578</t>
        </is>
      </c>
    </row>
    <row r="328">
      <c r="A328" t="inlineStr">
        <is>
          <t>No</t>
        </is>
      </c>
      <c r="B328" t="inlineStr">
        <is>
          <t>BV317.A49 T87 2002</t>
        </is>
      </c>
      <c r="C328" t="inlineStr">
        <is>
          <t>0                      BV 0317000A  49                 T  87          2002</t>
        </is>
      </c>
      <c r="D328" t="inlineStr">
        <is>
          <t>Amazing grace : the story of America's most beloved song / Steve Turner.</t>
        </is>
      </c>
      <c r="F328" t="inlineStr">
        <is>
          <t>No</t>
        </is>
      </c>
      <c r="G328" t="inlineStr">
        <is>
          <t>1</t>
        </is>
      </c>
      <c r="H328" t="inlineStr">
        <is>
          <t>No</t>
        </is>
      </c>
      <c r="I328" t="inlineStr">
        <is>
          <t>No</t>
        </is>
      </c>
      <c r="J328" t="inlineStr">
        <is>
          <t>0</t>
        </is>
      </c>
      <c r="K328" t="inlineStr">
        <is>
          <t>Turner, Steve, 1949-</t>
        </is>
      </c>
      <c r="L328" t="inlineStr">
        <is>
          <t>New York : Ecco, c2002.</t>
        </is>
      </c>
      <c r="M328" t="inlineStr">
        <is>
          <t>2002</t>
        </is>
      </c>
      <c r="N328" t="inlineStr">
        <is>
          <t>1st ed.</t>
        </is>
      </c>
      <c r="O328" t="inlineStr">
        <is>
          <t>eng</t>
        </is>
      </c>
      <c r="P328" t="inlineStr">
        <is>
          <t>nyu</t>
        </is>
      </c>
      <c r="R328" t="inlineStr">
        <is>
          <t xml:space="preserve">BV </t>
        </is>
      </c>
      <c r="S328" t="n">
        <v>3</v>
      </c>
      <c r="T328" t="n">
        <v>3</v>
      </c>
      <c r="U328" t="inlineStr">
        <is>
          <t>2002-12-17</t>
        </is>
      </c>
      <c r="V328" t="inlineStr">
        <is>
          <t>2002-12-17</t>
        </is>
      </c>
      <c r="W328" t="inlineStr">
        <is>
          <t>2002-11-18</t>
        </is>
      </c>
      <c r="X328" t="inlineStr">
        <is>
          <t>2002-11-18</t>
        </is>
      </c>
      <c r="Y328" t="n">
        <v>908</v>
      </c>
      <c r="Z328" t="n">
        <v>875</v>
      </c>
      <c r="AA328" t="n">
        <v>897</v>
      </c>
      <c r="AB328" t="n">
        <v>7</v>
      </c>
      <c r="AC328" t="n">
        <v>7</v>
      </c>
      <c r="AD328" t="n">
        <v>27</v>
      </c>
      <c r="AE328" t="n">
        <v>27</v>
      </c>
      <c r="AF328" t="n">
        <v>13</v>
      </c>
      <c r="AG328" t="n">
        <v>13</v>
      </c>
      <c r="AH328" t="n">
        <v>5</v>
      </c>
      <c r="AI328" t="n">
        <v>5</v>
      </c>
      <c r="AJ328" t="n">
        <v>11</v>
      </c>
      <c r="AK328" t="n">
        <v>11</v>
      </c>
      <c r="AL328" t="n">
        <v>4</v>
      </c>
      <c r="AM328" t="n">
        <v>4</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HYPERLINK("https://creighton-primo.hosted.exlibrisgroup.com/primo-explore/search?tab=default_tab&amp;search_scope=EVERYTHING&amp;vid=01CRU&amp;lang=en_US&amp;offset=0&amp;query=any,contains,991003916829702656","Catalog Record")</f>
        <v/>
      </c>
      <c r="AT328">
        <f>HYPERLINK("http://www.worldcat.org/oclc/49727873","WorldCat Record")</f>
        <v/>
      </c>
      <c r="AU328" t="inlineStr">
        <is>
          <t>3943478782:eng</t>
        </is>
      </c>
      <c r="AV328" t="inlineStr">
        <is>
          <t>49727873</t>
        </is>
      </c>
      <c r="AW328" t="inlineStr">
        <is>
          <t>991003916829702656</t>
        </is>
      </c>
      <c r="AX328" t="inlineStr">
        <is>
          <t>991003916829702656</t>
        </is>
      </c>
      <c r="AY328" t="inlineStr">
        <is>
          <t>2264668960002656</t>
        </is>
      </c>
      <c r="AZ328" t="inlineStr">
        <is>
          <t>BOOK</t>
        </is>
      </c>
      <c r="BB328" t="inlineStr">
        <is>
          <t>9780060002183</t>
        </is>
      </c>
      <c r="BC328" t="inlineStr">
        <is>
          <t>32285004664206</t>
        </is>
      </c>
      <c r="BD328" t="inlineStr">
        <is>
          <t>893429435</t>
        </is>
      </c>
    </row>
    <row r="329">
      <c r="A329" t="inlineStr">
        <is>
          <t>No</t>
        </is>
      </c>
      <c r="B329" t="inlineStr">
        <is>
          <t>BV325 .H38 1972</t>
        </is>
      </c>
      <c r="C329" t="inlineStr">
        <is>
          <t>0                      BV 0325000H  38          1972</t>
        </is>
      </c>
      <c r="D329" t="inlineStr">
        <is>
          <t>The poets of the church : a series of biographical sketches of hymn-writers with notes on their hymns / by Edwin F. Hatfield.</t>
        </is>
      </c>
      <c r="F329" t="inlineStr">
        <is>
          <t>No</t>
        </is>
      </c>
      <c r="G329" t="inlineStr">
        <is>
          <t>1</t>
        </is>
      </c>
      <c r="H329" t="inlineStr">
        <is>
          <t>No</t>
        </is>
      </c>
      <c r="I329" t="inlineStr">
        <is>
          <t>No</t>
        </is>
      </c>
      <c r="J329" t="inlineStr">
        <is>
          <t>0</t>
        </is>
      </c>
      <c r="K329" t="inlineStr">
        <is>
          <t>Hatfield, Edwin F. (Edwin Francis), 1807-1883.</t>
        </is>
      </c>
      <c r="L329" t="inlineStr">
        <is>
          <t>Boston, Milford House [1972]</t>
        </is>
      </c>
      <c r="M329" t="inlineStr">
        <is>
          <t>1972</t>
        </is>
      </c>
      <c r="O329" t="inlineStr">
        <is>
          <t>eng</t>
        </is>
      </c>
      <c r="P329" t="inlineStr">
        <is>
          <t>mau</t>
        </is>
      </c>
      <c r="R329" t="inlineStr">
        <is>
          <t xml:space="preserve">BV </t>
        </is>
      </c>
      <c r="S329" t="n">
        <v>1</v>
      </c>
      <c r="T329" t="n">
        <v>1</v>
      </c>
      <c r="U329" t="inlineStr">
        <is>
          <t>2005-09-23</t>
        </is>
      </c>
      <c r="V329" t="inlineStr">
        <is>
          <t>2005-09-23</t>
        </is>
      </c>
      <c r="W329" t="inlineStr">
        <is>
          <t>1992-01-08</t>
        </is>
      </c>
      <c r="X329" t="inlineStr">
        <is>
          <t>1992-01-08</t>
        </is>
      </c>
      <c r="Y329" t="n">
        <v>74</v>
      </c>
      <c r="Z329" t="n">
        <v>67</v>
      </c>
      <c r="AA329" t="n">
        <v>321</v>
      </c>
      <c r="AB329" t="n">
        <v>1</v>
      </c>
      <c r="AC329" t="n">
        <v>2</v>
      </c>
      <c r="AD329" t="n">
        <v>1</v>
      </c>
      <c r="AE329" t="n">
        <v>6</v>
      </c>
      <c r="AF329" t="n">
        <v>0</v>
      </c>
      <c r="AG329" t="n">
        <v>1</v>
      </c>
      <c r="AH329" t="n">
        <v>0</v>
      </c>
      <c r="AI329" t="n">
        <v>0</v>
      </c>
      <c r="AJ329" t="n">
        <v>1</v>
      </c>
      <c r="AK329" t="n">
        <v>4</v>
      </c>
      <c r="AL329" t="n">
        <v>0</v>
      </c>
      <c r="AM329" t="n">
        <v>1</v>
      </c>
      <c r="AN329" t="n">
        <v>0</v>
      </c>
      <c r="AO329" t="n">
        <v>0</v>
      </c>
      <c r="AP329" t="inlineStr">
        <is>
          <t>No</t>
        </is>
      </c>
      <c r="AQ329" t="inlineStr">
        <is>
          <t>Yes</t>
        </is>
      </c>
      <c r="AR329">
        <f>HYPERLINK("http://catalog.hathitrust.org/Record/001400748","HathiTrust Record")</f>
        <v/>
      </c>
      <c r="AS329">
        <f>HYPERLINK("https://creighton-primo.hosted.exlibrisgroup.com/primo-explore/search?tab=default_tab&amp;search_scope=EVERYTHING&amp;vid=01CRU&amp;lang=en_US&amp;offset=0&amp;query=any,contains,991002414719702656","Catalog Record")</f>
        <v/>
      </c>
      <c r="AT329">
        <f>HYPERLINK("http://www.worldcat.org/oclc/341209","WorldCat Record")</f>
        <v/>
      </c>
      <c r="AU329" t="inlineStr">
        <is>
          <t>468535:eng</t>
        </is>
      </c>
      <c r="AV329" t="inlineStr">
        <is>
          <t>341209</t>
        </is>
      </c>
      <c r="AW329" t="inlineStr">
        <is>
          <t>991002414719702656</t>
        </is>
      </c>
      <c r="AX329" t="inlineStr">
        <is>
          <t>991002414719702656</t>
        </is>
      </c>
      <c r="AY329" t="inlineStr">
        <is>
          <t>2265807300002656</t>
        </is>
      </c>
      <c r="AZ329" t="inlineStr">
        <is>
          <t>BOOK</t>
        </is>
      </c>
      <c r="BB329" t="inlineStr">
        <is>
          <t>9780878210282</t>
        </is>
      </c>
      <c r="BC329" t="inlineStr">
        <is>
          <t>32285000902287</t>
        </is>
      </c>
      <c r="BD329" t="inlineStr">
        <is>
          <t>893329047</t>
        </is>
      </c>
    </row>
    <row r="330">
      <c r="A330" t="inlineStr">
        <is>
          <t>No</t>
        </is>
      </c>
      <c r="B330" t="inlineStr">
        <is>
          <t>BV3265.2 .P38</t>
        </is>
      </c>
      <c r="C330" t="inlineStr">
        <is>
          <t>0                      BV 3265200P  38</t>
        </is>
      </c>
      <c r="D330" t="inlineStr">
        <is>
          <t>American Missionaries and Hinduism : a study of their contacts from 1813 to 1910 / by Sushil Madhava Pathak ; with a foreword by Norman D. Palmer.</t>
        </is>
      </c>
      <c r="F330" t="inlineStr">
        <is>
          <t>No</t>
        </is>
      </c>
      <c r="G330" t="inlineStr">
        <is>
          <t>1</t>
        </is>
      </c>
      <c r="H330" t="inlineStr">
        <is>
          <t>No</t>
        </is>
      </c>
      <c r="I330" t="inlineStr">
        <is>
          <t>No</t>
        </is>
      </c>
      <c r="J330" t="inlineStr">
        <is>
          <t>0</t>
        </is>
      </c>
      <c r="K330" t="inlineStr">
        <is>
          <t>Pathak, Sushil Madhava.</t>
        </is>
      </c>
      <c r="L330" t="inlineStr">
        <is>
          <t>Delhi, Munshiram Manoharlal [1967]</t>
        </is>
      </c>
      <c r="M330" t="inlineStr">
        <is>
          <t>1967</t>
        </is>
      </c>
      <c r="O330" t="inlineStr">
        <is>
          <t>eng</t>
        </is>
      </c>
      <c r="P330" t="inlineStr">
        <is>
          <t xml:space="preserve">ii </t>
        </is>
      </c>
      <c r="R330" t="inlineStr">
        <is>
          <t xml:space="preserve">BV </t>
        </is>
      </c>
      <c r="S330" t="n">
        <v>2</v>
      </c>
      <c r="T330" t="n">
        <v>2</v>
      </c>
      <c r="U330" t="inlineStr">
        <is>
          <t>1998-12-06</t>
        </is>
      </c>
      <c r="V330" t="inlineStr">
        <is>
          <t>1998-12-06</t>
        </is>
      </c>
      <c r="W330" t="inlineStr">
        <is>
          <t>1992-02-10</t>
        </is>
      </c>
      <c r="X330" t="inlineStr">
        <is>
          <t>1992-02-10</t>
        </is>
      </c>
      <c r="Y330" t="n">
        <v>378</v>
      </c>
      <c r="Z330" t="n">
        <v>328</v>
      </c>
      <c r="AA330" t="n">
        <v>332</v>
      </c>
      <c r="AB330" t="n">
        <v>2</v>
      </c>
      <c r="AC330" t="n">
        <v>2</v>
      </c>
      <c r="AD330" t="n">
        <v>15</v>
      </c>
      <c r="AE330" t="n">
        <v>15</v>
      </c>
      <c r="AF330" t="n">
        <v>2</v>
      </c>
      <c r="AG330" t="n">
        <v>2</v>
      </c>
      <c r="AH330" t="n">
        <v>4</v>
      </c>
      <c r="AI330" t="n">
        <v>4</v>
      </c>
      <c r="AJ330" t="n">
        <v>11</v>
      </c>
      <c r="AK330" t="n">
        <v>11</v>
      </c>
      <c r="AL330" t="n">
        <v>1</v>
      </c>
      <c r="AM330" t="n">
        <v>1</v>
      </c>
      <c r="AN330" t="n">
        <v>0</v>
      </c>
      <c r="AO330" t="n">
        <v>0</v>
      </c>
      <c r="AP330" t="inlineStr">
        <is>
          <t>No</t>
        </is>
      </c>
      <c r="AQ330" t="inlineStr">
        <is>
          <t>Yes</t>
        </is>
      </c>
      <c r="AR330">
        <f>HYPERLINK("http://catalog.hathitrust.org/Record/001413869","HathiTrust Record")</f>
        <v/>
      </c>
      <c r="AS330">
        <f>HYPERLINK("https://creighton-primo.hosted.exlibrisgroup.com/primo-explore/search?tab=default_tab&amp;search_scope=EVERYTHING&amp;vid=01CRU&amp;lang=en_US&amp;offset=0&amp;query=any,contains,991000517009702656","Catalog Record")</f>
        <v/>
      </c>
      <c r="AT330">
        <f>HYPERLINK("http://www.worldcat.org/oclc/86271","WorldCat Record")</f>
        <v/>
      </c>
      <c r="AU330" t="inlineStr">
        <is>
          <t>1281762:eng</t>
        </is>
      </c>
      <c r="AV330" t="inlineStr">
        <is>
          <t>86271</t>
        </is>
      </c>
      <c r="AW330" t="inlineStr">
        <is>
          <t>991000517009702656</t>
        </is>
      </c>
      <c r="AX330" t="inlineStr">
        <is>
          <t>991000517009702656</t>
        </is>
      </c>
      <c r="AY330" t="inlineStr">
        <is>
          <t>2270355120002656</t>
        </is>
      </c>
      <c r="AZ330" t="inlineStr">
        <is>
          <t>BOOK</t>
        </is>
      </c>
      <c r="BC330" t="inlineStr">
        <is>
          <t>32285000928571</t>
        </is>
      </c>
      <c r="BD330" t="inlineStr">
        <is>
          <t>893438330</t>
        </is>
      </c>
    </row>
    <row r="331">
      <c r="A331" t="inlineStr">
        <is>
          <t>No</t>
        </is>
      </c>
      <c r="B331" t="inlineStr">
        <is>
          <t>BV3269.H54 T47 1984</t>
        </is>
      </c>
      <c r="C331" t="inlineStr">
        <is>
          <t>0                      BV 3269000H  54                 T  47          1984</t>
        </is>
      </c>
      <c r="D331" t="inlineStr">
        <is>
          <t>A missionary social worker in India : J.B. Hoffmann, the Chota Nagpur Tenancy Act and the Catholic co-operatives, 1893-1928 / Peter Tete.</t>
        </is>
      </c>
      <c r="F331" t="inlineStr">
        <is>
          <t>No</t>
        </is>
      </c>
      <c r="G331" t="inlineStr">
        <is>
          <t>1</t>
        </is>
      </c>
      <c r="H331" t="inlineStr">
        <is>
          <t>No</t>
        </is>
      </c>
      <c r="I331" t="inlineStr">
        <is>
          <t>No</t>
        </is>
      </c>
      <c r="J331" t="inlineStr">
        <is>
          <t>0</t>
        </is>
      </c>
      <c r="K331" t="inlineStr">
        <is>
          <t>Tete, Peter, 1941-</t>
        </is>
      </c>
      <c r="L331" t="inlineStr">
        <is>
          <t>Roma : Università Gregoriana Editrice, 1984.</t>
        </is>
      </c>
      <c r="M331" t="inlineStr">
        <is>
          <t>1984</t>
        </is>
      </c>
      <c r="O331" t="inlineStr">
        <is>
          <t>eng</t>
        </is>
      </c>
      <c r="P331" t="inlineStr">
        <is>
          <t xml:space="preserve">it </t>
        </is>
      </c>
      <c r="Q331" t="inlineStr">
        <is>
          <t>Documenta missionalia ; 18</t>
        </is>
      </c>
      <c r="R331" t="inlineStr">
        <is>
          <t xml:space="preserve">BV </t>
        </is>
      </c>
      <c r="S331" t="n">
        <v>3</v>
      </c>
      <c r="T331" t="n">
        <v>3</v>
      </c>
      <c r="U331" t="inlineStr">
        <is>
          <t>1992-03-10</t>
        </is>
      </c>
      <c r="V331" t="inlineStr">
        <is>
          <t>1992-03-10</t>
        </is>
      </c>
      <c r="W331" t="inlineStr">
        <is>
          <t>1990-04-20</t>
        </is>
      </c>
      <c r="X331" t="inlineStr">
        <is>
          <t>1990-04-20</t>
        </is>
      </c>
      <c r="Y331" t="n">
        <v>64</v>
      </c>
      <c r="Z331" t="n">
        <v>49</v>
      </c>
      <c r="AA331" t="n">
        <v>50</v>
      </c>
      <c r="AB331" t="n">
        <v>1</v>
      </c>
      <c r="AC331" t="n">
        <v>1</v>
      </c>
      <c r="AD331" t="n">
        <v>4</v>
      </c>
      <c r="AE331" t="n">
        <v>4</v>
      </c>
      <c r="AF331" t="n">
        <v>0</v>
      </c>
      <c r="AG331" t="n">
        <v>0</v>
      </c>
      <c r="AH331" t="n">
        <v>0</v>
      </c>
      <c r="AI331" t="n">
        <v>0</v>
      </c>
      <c r="AJ331" t="n">
        <v>4</v>
      </c>
      <c r="AK331" t="n">
        <v>4</v>
      </c>
      <c r="AL331" t="n">
        <v>0</v>
      </c>
      <c r="AM331" t="n">
        <v>0</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HYPERLINK("https://creighton-primo.hosted.exlibrisgroup.com/primo-explore/search?tab=default_tab&amp;search_scope=EVERYTHING&amp;vid=01CRU&amp;lang=en_US&amp;offset=0&amp;query=any,contains,991000512209702656","Catalog Record")</f>
        <v/>
      </c>
      <c r="AT331">
        <f>HYPERLINK("http://www.worldcat.org/oclc/11249173","WorldCat Record")</f>
        <v/>
      </c>
      <c r="AU331" t="inlineStr">
        <is>
          <t>429523134:eng</t>
        </is>
      </c>
      <c r="AV331" t="inlineStr">
        <is>
          <t>11249173</t>
        </is>
      </c>
      <c r="AW331" t="inlineStr">
        <is>
          <t>991000512209702656</t>
        </is>
      </c>
      <c r="AX331" t="inlineStr">
        <is>
          <t>991000512209702656</t>
        </is>
      </c>
      <c r="AY331" t="inlineStr">
        <is>
          <t>2255261300002656</t>
        </is>
      </c>
      <c r="AZ331" t="inlineStr">
        <is>
          <t>BOOK</t>
        </is>
      </c>
      <c r="BB331" t="inlineStr">
        <is>
          <t>9788876525391</t>
        </is>
      </c>
      <c r="BC331" t="inlineStr">
        <is>
          <t>32285000130152</t>
        </is>
      </c>
      <c r="BD331" t="inlineStr">
        <is>
          <t>893607974</t>
        </is>
      </c>
    </row>
    <row r="332">
      <c r="A332" t="inlineStr">
        <is>
          <t>No</t>
        </is>
      </c>
      <c r="B332" t="inlineStr">
        <is>
          <t>BV3269.N6 C7 1959</t>
        </is>
      </c>
      <c r="C332" t="inlineStr">
        <is>
          <t>0                      BV 3269000N  6                  C  7           1959</t>
        </is>
      </c>
      <c r="D332" t="inlineStr">
        <is>
          <t>A pearl to India : the life of Roberto de Nobili.</t>
        </is>
      </c>
      <c r="F332" t="inlineStr">
        <is>
          <t>No</t>
        </is>
      </c>
      <c r="G332" t="inlineStr">
        <is>
          <t>1</t>
        </is>
      </c>
      <c r="H332" t="inlineStr">
        <is>
          <t>No</t>
        </is>
      </c>
      <c r="I332" t="inlineStr">
        <is>
          <t>No</t>
        </is>
      </c>
      <c r="J332" t="inlineStr">
        <is>
          <t>0</t>
        </is>
      </c>
      <c r="K332" t="inlineStr">
        <is>
          <t>Cronin, Vincent.</t>
        </is>
      </c>
      <c r="L332" t="inlineStr">
        <is>
          <t>New York : Dutton, 1959.</t>
        </is>
      </c>
      <c r="M332" t="inlineStr">
        <is>
          <t>1959</t>
        </is>
      </c>
      <c r="O332" t="inlineStr">
        <is>
          <t>eng</t>
        </is>
      </c>
      <c r="P332" t="inlineStr">
        <is>
          <t xml:space="preserve">xx </t>
        </is>
      </c>
      <c r="R332" t="inlineStr">
        <is>
          <t xml:space="preserve">BV </t>
        </is>
      </c>
      <c r="S332" t="n">
        <v>7</v>
      </c>
      <c r="T332" t="n">
        <v>7</v>
      </c>
      <c r="U332" t="inlineStr">
        <is>
          <t>2008-04-08</t>
        </is>
      </c>
      <c r="V332" t="inlineStr">
        <is>
          <t>2008-04-08</t>
        </is>
      </c>
      <c r="W332" t="inlineStr">
        <is>
          <t>1992-02-10</t>
        </is>
      </c>
      <c r="X332" t="inlineStr">
        <is>
          <t>1992-02-10</t>
        </is>
      </c>
      <c r="Y332" t="n">
        <v>414</v>
      </c>
      <c r="Z332" t="n">
        <v>371</v>
      </c>
      <c r="AA332" t="n">
        <v>439</v>
      </c>
      <c r="AB332" t="n">
        <v>3</v>
      </c>
      <c r="AC332" t="n">
        <v>3</v>
      </c>
      <c r="AD332" t="n">
        <v>30</v>
      </c>
      <c r="AE332" t="n">
        <v>34</v>
      </c>
      <c r="AF332" t="n">
        <v>12</v>
      </c>
      <c r="AG332" t="n">
        <v>13</v>
      </c>
      <c r="AH332" t="n">
        <v>6</v>
      </c>
      <c r="AI332" t="n">
        <v>7</v>
      </c>
      <c r="AJ332" t="n">
        <v>22</v>
      </c>
      <c r="AK332" t="n">
        <v>26</v>
      </c>
      <c r="AL332" t="n">
        <v>1</v>
      </c>
      <c r="AM332" t="n">
        <v>1</v>
      </c>
      <c r="AN332" t="n">
        <v>0</v>
      </c>
      <c r="AO332" t="n">
        <v>0</v>
      </c>
      <c r="AP332" t="inlineStr">
        <is>
          <t>No</t>
        </is>
      </c>
      <c r="AQ332" t="inlineStr">
        <is>
          <t>Yes</t>
        </is>
      </c>
      <c r="AR332">
        <f>HYPERLINK("http://catalog.hathitrust.org/Record/007887766","HathiTrust Record")</f>
        <v/>
      </c>
      <c r="AS332">
        <f>HYPERLINK("https://creighton-primo.hosted.exlibrisgroup.com/primo-explore/search?tab=default_tab&amp;search_scope=EVERYTHING&amp;vid=01CRU&amp;lang=en_US&amp;offset=0&amp;query=any,contains,991003242579702656","Catalog Record")</f>
        <v/>
      </c>
      <c r="AT332">
        <f>HYPERLINK("http://www.worldcat.org/oclc/765713","WorldCat Record")</f>
        <v/>
      </c>
      <c r="AU332" t="inlineStr">
        <is>
          <t>1657374:eng</t>
        </is>
      </c>
      <c r="AV332" t="inlineStr">
        <is>
          <t>765713</t>
        </is>
      </c>
      <c r="AW332" t="inlineStr">
        <is>
          <t>991003242579702656</t>
        </is>
      </c>
      <c r="AX332" t="inlineStr">
        <is>
          <t>991003242579702656</t>
        </is>
      </c>
      <c r="AY332" t="inlineStr">
        <is>
          <t>2270384470002656</t>
        </is>
      </c>
      <c r="AZ332" t="inlineStr">
        <is>
          <t>BOOK</t>
        </is>
      </c>
      <c r="BC332" t="inlineStr">
        <is>
          <t>32285000928597</t>
        </is>
      </c>
      <c r="BD332" t="inlineStr">
        <is>
          <t>893899762</t>
        </is>
      </c>
    </row>
    <row r="333">
      <c r="A333" t="inlineStr">
        <is>
          <t>No</t>
        </is>
      </c>
      <c r="B333" t="inlineStr">
        <is>
          <t>BV3280.T3 K46 2004</t>
        </is>
      </c>
      <c r="C333" t="inlineStr">
        <is>
          <t>0                      BV 3280000T  3                  K  46          2004</t>
        </is>
      </c>
      <c r="D333" t="inlineStr">
        <is>
          <t>Converting women : gender and Protestant Christianity in colonial South India / Eliza F. Kent.</t>
        </is>
      </c>
      <c r="F333" t="inlineStr">
        <is>
          <t>No</t>
        </is>
      </c>
      <c r="G333" t="inlineStr">
        <is>
          <t>1</t>
        </is>
      </c>
      <c r="H333" t="inlineStr">
        <is>
          <t>No</t>
        </is>
      </c>
      <c r="I333" t="inlineStr">
        <is>
          <t>No</t>
        </is>
      </c>
      <c r="J333" t="inlineStr">
        <is>
          <t>0</t>
        </is>
      </c>
      <c r="K333" t="inlineStr">
        <is>
          <t>Kent, Eliza F., 1966-</t>
        </is>
      </c>
      <c r="L333" t="inlineStr">
        <is>
          <t>Oxford ; New York : Oxford University Press, 2004.</t>
        </is>
      </c>
      <c r="M333" t="inlineStr">
        <is>
          <t>2004</t>
        </is>
      </c>
      <c r="O333" t="inlineStr">
        <is>
          <t>eng</t>
        </is>
      </c>
      <c r="P333" t="inlineStr">
        <is>
          <t>enk</t>
        </is>
      </c>
      <c r="R333" t="inlineStr">
        <is>
          <t xml:space="preserve">BV </t>
        </is>
      </c>
      <c r="S333" t="n">
        <v>1</v>
      </c>
      <c r="T333" t="n">
        <v>1</v>
      </c>
      <c r="U333" t="inlineStr">
        <is>
          <t>2005-06-06</t>
        </is>
      </c>
      <c r="V333" t="inlineStr">
        <is>
          <t>2005-06-06</t>
        </is>
      </c>
      <c r="W333" t="inlineStr">
        <is>
          <t>2005-06-06</t>
        </is>
      </c>
      <c r="X333" t="inlineStr">
        <is>
          <t>2005-06-06</t>
        </is>
      </c>
      <c r="Y333" t="n">
        <v>372</v>
      </c>
      <c r="Z333" t="n">
        <v>297</v>
      </c>
      <c r="AA333" t="n">
        <v>584</v>
      </c>
      <c r="AB333" t="n">
        <v>3</v>
      </c>
      <c r="AC333" t="n">
        <v>18</v>
      </c>
      <c r="AD333" t="n">
        <v>23</v>
      </c>
      <c r="AE333" t="n">
        <v>35</v>
      </c>
      <c r="AF333" t="n">
        <v>11</v>
      </c>
      <c r="AG333" t="n">
        <v>12</v>
      </c>
      <c r="AH333" t="n">
        <v>5</v>
      </c>
      <c r="AI333" t="n">
        <v>7</v>
      </c>
      <c r="AJ333" t="n">
        <v>11</v>
      </c>
      <c r="AK333" t="n">
        <v>13</v>
      </c>
      <c r="AL333" t="n">
        <v>2</v>
      </c>
      <c r="AM333" t="n">
        <v>10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HYPERLINK("https://creighton-primo.hosted.exlibrisgroup.com/primo-explore/search?tab=default_tab&amp;search_scope=EVERYTHING&amp;vid=01CRU&amp;lang=en_US&amp;offset=0&amp;query=any,contains,991004537379702656","Catalog Record")</f>
        <v/>
      </c>
      <c r="AT333">
        <f>HYPERLINK("http://www.worldcat.org/oclc/52412323","WorldCat Record")</f>
        <v/>
      </c>
      <c r="AU333" t="inlineStr">
        <is>
          <t>801642256:eng</t>
        </is>
      </c>
      <c r="AV333" t="inlineStr">
        <is>
          <t>52412323</t>
        </is>
      </c>
      <c r="AW333" t="inlineStr">
        <is>
          <t>991004537379702656</t>
        </is>
      </c>
      <c r="AX333" t="inlineStr">
        <is>
          <t>991004537379702656</t>
        </is>
      </c>
      <c r="AY333" t="inlineStr">
        <is>
          <t>2266712160002656</t>
        </is>
      </c>
      <c r="AZ333" t="inlineStr">
        <is>
          <t>BOOK</t>
        </is>
      </c>
      <c r="BB333" t="inlineStr">
        <is>
          <t>9780195165074</t>
        </is>
      </c>
      <c r="BC333" t="inlineStr">
        <is>
          <t>32285005092993</t>
        </is>
      </c>
      <c r="BD333" t="inlineStr">
        <is>
          <t>893618780</t>
        </is>
      </c>
    </row>
    <row r="334">
      <c r="A334" t="inlineStr">
        <is>
          <t>No</t>
        </is>
      </c>
      <c r="B334" t="inlineStr">
        <is>
          <t>BV3382.B87 A3 2003</t>
        </is>
      </c>
      <c r="C334" t="inlineStr">
        <is>
          <t>0                      BV 3382000B  87                 A  3           2003</t>
        </is>
      </c>
      <c r="D334" t="inlineStr">
        <is>
          <t>In the presence of my enemies / Gracia Burnham, with Dean Merrill.</t>
        </is>
      </c>
      <c r="F334" t="inlineStr">
        <is>
          <t>No</t>
        </is>
      </c>
      <c r="G334" t="inlineStr">
        <is>
          <t>1</t>
        </is>
      </c>
      <c r="H334" t="inlineStr">
        <is>
          <t>No</t>
        </is>
      </c>
      <c r="I334" t="inlineStr">
        <is>
          <t>No</t>
        </is>
      </c>
      <c r="J334" t="inlineStr">
        <is>
          <t>0</t>
        </is>
      </c>
      <c r="K334" t="inlineStr">
        <is>
          <t>Burnham, Gracia.</t>
        </is>
      </c>
      <c r="L334" t="inlineStr">
        <is>
          <t>Wheaton, Ill. : Tyndale House, c2003.</t>
        </is>
      </c>
      <c r="M334" t="inlineStr">
        <is>
          <t>2003</t>
        </is>
      </c>
      <c r="O334" t="inlineStr">
        <is>
          <t>eng</t>
        </is>
      </c>
      <c r="P334" t="inlineStr">
        <is>
          <t>ilu</t>
        </is>
      </c>
      <c r="R334" t="inlineStr">
        <is>
          <t xml:space="preserve">BV </t>
        </is>
      </c>
      <c r="S334" t="n">
        <v>1</v>
      </c>
      <c r="T334" t="n">
        <v>1</v>
      </c>
      <c r="U334" t="inlineStr">
        <is>
          <t>2006-03-16</t>
        </is>
      </c>
      <c r="V334" t="inlineStr">
        <is>
          <t>2006-03-16</t>
        </is>
      </c>
      <c r="W334" t="inlineStr">
        <is>
          <t>2003-06-17</t>
        </is>
      </c>
      <c r="X334" t="inlineStr">
        <is>
          <t>2003-06-17</t>
        </is>
      </c>
      <c r="Y334" t="n">
        <v>1516</v>
      </c>
      <c r="Z334" t="n">
        <v>1454</v>
      </c>
      <c r="AA334" t="n">
        <v>1602</v>
      </c>
      <c r="AB334" t="n">
        <v>22</v>
      </c>
      <c r="AC334" t="n">
        <v>25</v>
      </c>
      <c r="AD334" t="n">
        <v>5</v>
      </c>
      <c r="AE334" t="n">
        <v>9</v>
      </c>
      <c r="AF334" t="n">
        <v>3</v>
      </c>
      <c r="AG334" t="n">
        <v>5</v>
      </c>
      <c r="AH334" t="n">
        <v>1</v>
      </c>
      <c r="AI334" t="n">
        <v>2</v>
      </c>
      <c r="AJ334" t="n">
        <v>1</v>
      </c>
      <c r="AK334" t="n">
        <v>1</v>
      </c>
      <c r="AL334" t="n">
        <v>0</v>
      </c>
      <c r="AM334" t="n">
        <v>2</v>
      </c>
      <c r="AN334" t="n">
        <v>1</v>
      </c>
      <c r="AO334" t="n">
        <v>1</v>
      </c>
      <c r="AP334" t="inlineStr">
        <is>
          <t>No</t>
        </is>
      </c>
      <c r="AQ334" t="inlineStr">
        <is>
          <t>No</t>
        </is>
      </c>
      <c r="AS334">
        <f>HYPERLINK("https://creighton-primo.hosted.exlibrisgroup.com/primo-explore/search?tab=default_tab&amp;search_scope=EVERYTHING&amp;vid=01CRU&amp;lang=en_US&amp;offset=0&amp;query=any,contains,991004060319702656","Catalog Record")</f>
        <v/>
      </c>
      <c r="AT334">
        <f>HYPERLINK("http://www.worldcat.org/oclc/51630805","WorldCat Record")</f>
        <v/>
      </c>
      <c r="AU334" t="inlineStr">
        <is>
          <t>724398:eng</t>
        </is>
      </c>
      <c r="AV334" t="inlineStr">
        <is>
          <t>51630805</t>
        </is>
      </c>
      <c r="AW334" t="inlineStr">
        <is>
          <t>991004060319702656</t>
        </is>
      </c>
      <c r="AX334" t="inlineStr">
        <is>
          <t>991004060319702656</t>
        </is>
      </c>
      <c r="AY334" t="inlineStr">
        <is>
          <t>2255174190002656</t>
        </is>
      </c>
      <c r="AZ334" t="inlineStr">
        <is>
          <t>BOOK</t>
        </is>
      </c>
      <c r="BB334" t="inlineStr">
        <is>
          <t>9780842381383</t>
        </is>
      </c>
      <c r="BC334" t="inlineStr">
        <is>
          <t>32285004752886</t>
        </is>
      </c>
      <c r="BD334" t="inlineStr">
        <is>
          <t>893247112</t>
        </is>
      </c>
    </row>
    <row r="335">
      <c r="A335" t="inlineStr">
        <is>
          <t>No</t>
        </is>
      </c>
      <c r="B335" t="inlineStr">
        <is>
          <t>BV340 .O72 1990</t>
        </is>
      </c>
      <c r="C335" t="inlineStr">
        <is>
          <t>0                      BV 0340000O  72          1990</t>
        </is>
      </c>
      <c r="D335" t="inlineStr">
        <is>
          <t>Amazing grace : 366 inspiring hymn stories for daily devotions / Kenneth W. Osbeck.</t>
        </is>
      </c>
      <c r="F335" t="inlineStr">
        <is>
          <t>No</t>
        </is>
      </c>
      <c r="G335" t="inlineStr">
        <is>
          <t>1</t>
        </is>
      </c>
      <c r="H335" t="inlineStr">
        <is>
          <t>No</t>
        </is>
      </c>
      <c r="I335" t="inlineStr">
        <is>
          <t>No</t>
        </is>
      </c>
      <c r="J335" t="inlineStr">
        <is>
          <t>0</t>
        </is>
      </c>
      <c r="K335" t="inlineStr">
        <is>
          <t>Osbeck, Kenneth W.</t>
        </is>
      </c>
      <c r="L335" t="inlineStr">
        <is>
          <t>Grand Rapids, Mich. : Kregel Publications, c1990.</t>
        </is>
      </c>
      <c r="M335" t="inlineStr">
        <is>
          <t>1990</t>
        </is>
      </c>
      <c r="O335" t="inlineStr">
        <is>
          <t>eng</t>
        </is>
      </c>
      <c r="P335" t="inlineStr">
        <is>
          <t>miu</t>
        </is>
      </c>
      <c r="R335" t="inlineStr">
        <is>
          <t xml:space="preserve">BV </t>
        </is>
      </c>
      <c r="S335" t="n">
        <v>2</v>
      </c>
      <c r="T335" t="n">
        <v>2</v>
      </c>
      <c r="U335" t="inlineStr">
        <is>
          <t>2004-05-05</t>
        </is>
      </c>
      <c r="V335" t="inlineStr">
        <is>
          <t>2004-05-05</t>
        </is>
      </c>
      <c r="W335" t="inlineStr">
        <is>
          <t>2004-05-05</t>
        </is>
      </c>
      <c r="X335" t="inlineStr">
        <is>
          <t>2004-05-05</t>
        </is>
      </c>
      <c r="Y335" t="n">
        <v>258</v>
      </c>
      <c r="Z335" t="n">
        <v>239</v>
      </c>
      <c r="AA335" t="n">
        <v>275</v>
      </c>
      <c r="AB335" t="n">
        <v>2</v>
      </c>
      <c r="AC335" t="n">
        <v>4</v>
      </c>
      <c r="AD335" t="n">
        <v>4</v>
      </c>
      <c r="AE335" t="n">
        <v>5</v>
      </c>
      <c r="AF335" t="n">
        <v>3</v>
      </c>
      <c r="AG335" t="n">
        <v>3</v>
      </c>
      <c r="AH335" t="n">
        <v>1</v>
      </c>
      <c r="AI335" t="n">
        <v>1</v>
      </c>
      <c r="AJ335" t="n">
        <v>0</v>
      </c>
      <c r="AK335" t="n">
        <v>0</v>
      </c>
      <c r="AL335" t="n">
        <v>0</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HYPERLINK("https://creighton-primo.hosted.exlibrisgroup.com/primo-explore/search?tab=default_tab&amp;search_scope=EVERYTHING&amp;vid=01CRU&amp;lang=en_US&amp;offset=0&amp;query=any,contains,991004295689702656","Catalog Record")</f>
        <v/>
      </c>
      <c r="AT335">
        <f>HYPERLINK("http://www.worldcat.org/oclc/21674588","WorldCat Record")</f>
        <v/>
      </c>
      <c r="AU335" t="inlineStr">
        <is>
          <t>3901310489:eng</t>
        </is>
      </c>
      <c r="AV335" t="inlineStr">
        <is>
          <t>21674588</t>
        </is>
      </c>
      <c r="AW335" t="inlineStr">
        <is>
          <t>991004295689702656</t>
        </is>
      </c>
      <c r="AX335" t="inlineStr">
        <is>
          <t>991004295689702656</t>
        </is>
      </c>
      <c r="AY335" t="inlineStr">
        <is>
          <t>2263376250002656</t>
        </is>
      </c>
      <c r="AZ335" t="inlineStr">
        <is>
          <t>BOOK</t>
        </is>
      </c>
      <c r="BB335" t="inlineStr">
        <is>
          <t>9780825434259</t>
        </is>
      </c>
      <c r="BC335" t="inlineStr">
        <is>
          <t>32285004904099</t>
        </is>
      </c>
      <c r="BD335" t="inlineStr">
        <is>
          <t>893782080</t>
        </is>
      </c>
    </row>
    <row r="336">
      <c r="A336" t="inlineStr">
        <is>
          <t>No</t>
        </is>
      </c>
      <c r="B336" t="inlineStr">
        <is>
          <t>BV3415 .M35 1941</t>
        </is>
      </c>
      <c r="C336" t="inlineStr">
        <is>
          <t>0                      BV 3415000M  35          1941</t>
        </is>
      </c>
      <c r="D336" t="inlineStr">
        <is>
          <t>One inch of splendor / by Sister Mary Rosalia. Designs by Joseph Notarpole.</t>
        </is>
      </c>
      <c r="F336" t="inlineStr">
        <is>
          <t>No</t>
        </is>
      </c>
      <c r="G336" t="inlineStr">
        <is>
          <t>1</t>
        </is>
      </c>
      <c r="H336" t="inlineStr">
        <is>
          <t>No</t>
        </is>
      </c>
      <c r="I336" t="inlineStr">
        <is>
          <t>No</t>
        </is>
      </c>
      <c r="J336" t="inlineStr">
        <is>
          <t>0</t>
        </is>
      </c>
      <c r="K336" t="inlineStr">
        <is>
          <t>Mary Rosalia, Sister, 1896-</t>
        </is>
      </c>
      <c r="L336" t="inlineStr">
        <is>
          <t>New York : Field afar press, [c1941]</t>
        </is>
      </c>
      <c r="M336" t="inlineStr">
        <is>
          <t>1941</t>
        </is>
      </c>
      <c r="O336" t="inlineStr">
        <is>
          <t>eng</t>
        </is>
      </c>
      <c r="P336" t="inlineStr">
        <is>
          <t>nyu</t>
        </is>
      </c>
      <c r="R336" t="inlineStr">
        <is>
          <t xml:space="preserve">BV </t>
        </is>
      </c>
      <c r="S336" t="n">
        <v>2</v>
      </c>
      <c r="T336" t="n">
        <v>2</v>
      </c>
      <c r="U336" t="inlineStr">
        <is>
          <t>1994-10-27</t>
        </is>
      </c>
      <c r="V336" t="inlineStr">
        <is>
          <t>1994-10-27</t>
        </is>
      </c>
      <c r="W336" t="inlineStr">
        <is>
          <t>1992-02-13</t>
        </is>
      </c>
      <c r="X336" t="inlineStr">
        <is>
          <t>1992-02-13</t>
        </is>
      </c>
      <c r="Y336" t="n">
        <v>90</v>
      </c>
      <c r="Z336" t="n">
        <v>85</v>
      </c>
      <c r="AA336" t="n">
        <v>86</v>
      </c>
      <c r="AB336" t="n">
        <v>3</v>
      </c>
      <c r="AC336" t="n">
        <v>3</v>
      </c>
      <c r="AD336" t="n">
        <v>15</v>
      </c>
      <c r="AE336" t="n">
        <v>15</v>
      </c>
      <c r="AF336" t="n">
        <v>3</v>
      </c>
      <c r="AG336" t="n">
        <v>3</v>
      </c>
      <c r="AH336" t="n">
        <v>3</v>
      </c>
      <c r="AI336" t="n">
        <v>3</v>
      </c>
      <c r="AJ336" t="n">
        <v>12</v>
      </c>
      <c r="AK336" t="n">
        <v>12</v>
      </c>
      <c r="AL336" t="n">
        <v>0</v>
      </c>
      <c r="AM336" t="n">
        <v>0</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HYPERLINK("https://creighton-primo.hosted.exlibrisgroup.com/primo-explore/search?tab=default_tab&amp;search_scope=EVERYTHING&amp;vid=01CRU&amp;lang=en_US&amp;offset=0&amp;query=any,contains,991004347889702656","Catalog Record")</f>
        <v/>
      </c>
      <c r="AT336">
        <f>HYPERLINK("http://www.worldcat.org/oclc/3105047","WorldCat Record")</f>
        <v/>
      </c>
      <c r="AU336" t="inlineStr">
        <is>
          <t>5585836828:eng</t>
        </is>
      </c>
      <c r="AV336" t="inlineStr">
        <is>
          <t>3105047</t>
        </is>
      </c>
      <c r="AW336" t="inlineStr">
        <is>
          <t>991004347889702656</t>
        </is>
      </c>
      <c r="AX336" t="inlineStr">
        <is>
          <t>991004347889702656</t>
        </is>
      </c>
      <c r="AY336" t="inlineStr">
        <is>
          <t>2269739930002656</t>
        </is>
      </c>
      <c r="AZ336" t="inlineStr">
        <is>
          <t>BOOK</t>
        </is>
      </c>
      <c r="BC336" t="inlineStr">
        <is>
          <t>32285000928670</t>
        </is>
      </c>
      <c r="BD336" t="inlineStr">
        <is>
          <t>893525987</t>
        </is>
      </c>
    </row>
    <row r="337">
      <c r="A337" t="inlineStr">
        <is>
          <t>No</t>
        </is>
      </c>
      <c r="B337" t="inlineStr">
        <is>
          <t>BV3415.2 .F64 1987</t>
        </is>
      </c>
      <c r="C337" t="inlineStr">
        <is>
          <t>0                      BV 3415200F  64          1987</t>
        </is>
      </c>
      <c r="D337" t="inlineStr">
        <is>
          <t>Chosen for China : the California Province Jesuits in China, 1928-1957 : a case study in mission and culture / Peter Joseph Fleming.</t>
        </is>
      </c>
      <c r="F337" t="inlineStr">
        <is>
          <t>No</t>
        </is>
      </c>
      <c r="G337" t="inlineStr">
        <is>
          <t>1</t>
        </is>
      </c>
      <c r="H337" t="inlineStr">
        <is>
          <t>No</t>
        </is>
      </c>
      <c r="I337" t="inlineStr">
        <is>
          <t>No</t>
        </is>
      </c>
      <c r="J337" t="inlineStr">
        <is>
          <t>0</t>
        </is>
      </c>
      <c r="K337" t="inlineStr">
        <is>
          <t>Fleming, Peter J. (Peter Joseph)</t>
        </is>
      </c>
      <c r="M337" t="inlineStr">
        <is>
          <t>1987</t>
        </is>
      </c>
      <c r="O337" t="inlineStr">
        <is>
          <t>eng</t>
        </is>
      </c>
      <c r="P337" t="inlineStr">
        <is>
          <t xml:space="preserve">xx </t>
        </is>
      </c>
      <c r="R337" t="inlineStr">
        <is>
          <t xml:space="preserve">BV </t>
        </is>
      </c>
      <c r="S337" t="n">
        <v>6</v>
      </c>
      <c r="T337" t="n">
        <v>6</v>
      </c>
      <c r="U337" t="inlineStr">
        <is>
          <t>2003-11-30</t>
        </is>
      </c>
      <c r="V337" t="inlineStr">
        <is>
          <t>2003-11-30</t>
        </is>
      </c>
      <c r="W337" t="inlineStr">
        <is>
          <t>1996-05-29</t>
        </is>
      </c>
      <c r="X337" t="inlineStr">
        <is>
          <t>1996-05-29</t>
        </is>
      </c>
      <c r="Y337" t="n">
        <v>8</v>
      </c>
      <c r="Z337" t="n">
        <v>8</v>
      </c>
      <c r="AA337" t="n">
        <v>15</v>
      </c>
      <c r="AB337" t="n">
        <v>1</v>
      </c>
      <c r="AC337" t="n">
        <v>1</v>
      </c>
      <c r="AD337" t="n">
        <v>4</v>
      </c>
      <c r="AE337" t="n">
        <v>4</v>
      </c>
      <c r="AF337" t="n">
        <v>2</v>
      </c>
      <c r="AG337" t="n">
        <v>2</v>
      </c>
      <c r="AH337" t="n">
        <v>0</v>
      </c>
      <c r="AI337" t="n">
        <v>0</v>
      </c>
      <c r="AJ337" t="n">
        <v>4</v>
      </c>
      <c r="AK337" t="n">
        <v>4</v>
      </c>
      <c r="AL337" t="n">
        <v>0</v>
      </c>
      <c r="AM337" t="n">
        <v>0</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HYPERLINK("https://creighton-primo.hosted.exlibrisgroup.com/primo-explore/search?tab=default_tab&amp;search_scope=EVERYTHING&amp;vid=01CRU&amp;lang=en_US&amp;offset=0&amp;query=any,contains,991001438309702656","Catalog Record")</f>
        <v/>
      </c>
      <c r="AT337">
        <f>HYPERLINK("http://www.worldcat.org/oclc/19215244","WorldCat Record")</f>
        <v/>
      </c>
      <c r="AU337" t="inlineStr">
        <is>
          <t>21297359:eng</t>
        </is>
      </c>
      <c r="AV337" t="inlineStr">
        <is>
          <t>19215244</t>
        </is>
      </c>
      <c r="AW337" t="inlineStr">
        <is>
          <t>991001438309702656</t>
        </is>
      </c>
      <c r="AX337" t="inlineStr">
        <is>
          <t>991001438309702656</t>
        </is>
      </c>
      <c r="AY337" t="inlineStr">
        <is>
          <t>2263088010002656</t>
        </is>
      </c>
      <c r="AZ337" t="inlineStr">
        <is>
          <t>BOOK</t>
        </is>
      </c>
      <c r="BC337" t="inlineStr">
        <is>
          <t>32285002121399</t>
        </is>
      </c>
      <c r="BD337" t="inlineStr">
        <is>
          <t>893244137</t>
        </is>
      </c>
    </row>
    <row r="338">
      <c r="A338" t="inlineStr">
        <is>
          <t>No</t>
        </is>
      </c>
      <c r="B338" t="inlineStr">
        <is>
          <t>BV3415.2 .L8</t>
        </is>
      </c>
      <c r="C338" t="inlineStr">
        <is>
          <t>0                      BV 3415200L  8</t>
        </is>
      </c>
      <c r="D338" t="inlineStr">
        <is>
          <t>Christian missions in China : evangelists of what? / edited with an introd. by Jessie G. Lutz.</t>
        </is>
      </c>
      <c r="F338" t="inlineStr">
        <is>
          <t>No</t>
        </is>
      </c>
      <c r="G338" t="inlineStr">
        <is>
          <t>1</t>
        </is>
      </c>
      <c r="H338" t="inlineStr">
        <is>
          <t>No</t>
        </is>
      </c>
      <c r="I338" t="inlineStr">
        <is>
          <t>No</t>
        </is>
      </c>
      <c r="J338" t="inlineStr">
        <is>
          <t>0</t>
        </is>
      </c>
      <c r="K338" t="inlineStr">
        <is>
          <t>Lutz, Jessie Gregory, 1925- editor.</t>
        </is>
      </c>
      <c r="L338" t="inlineStr">
        <is>
          <t>Boston : Heath, [1965]</t>
        </is>
      </c>
      <c r="M338" t="inlineStr">
        <is>
          <t>1965</t>
        </is>
      </c>
      <c r="O338" t="inlineStr">
        <is>
          <t>eng</t>
        </is>
      </c>
      <c r="P338" t="inlineStr">
        <is>
          <t>mau</t>
        </is>
      </c>
      <c r="Q338" t="inlineStr">
        <is>
          <t>Problems in Asian civilizations</t>
        </is>
      </c>
      <c r="R338" t="inlineStr">
        <is>
          <t xml:space="preserve">BV </t>
        </is>
      </c>
      <c r="S338" t="n">
        <v>8</v>
      </c>
      <c r="T338" t="n">
        <v>8</v>
      </c>
      <c r="U338" t="inlineStr">
        <is>
          <t>2006-11-17</t>
        </is>
      </c>
      <c r="V338" t="inlineStr">
        <is>
          <t>2006-11-17</t>
        </is>
      </c>
      <c r="W338" t="inlineStr">
        <is>
          <t>1992-01-10</t>
        </is>
      </c>
      <c r="X338" t="inlineStr">
        <is>
          <t>1992-01-10</t>
        </is>
      </c>
      <c r="Y338" t="n">
        <v>711</v>
      </c>
      <c r="Z338" t="n">
        <v>615</v>
      </c>
      <c r="AA338" t="n">
        <v>651</v>
      </c>
      <c r="AB338" t="n">
        <v>7</v>
      </c>
      <c r="AC338" t="n">
        <v>8</v>
      </c>
      <c r="AD338" t="n">
        <v>22</v>
      </c>
      <c r="AE338" t="n">
        <v>26</v>
      </c>
      <c r="AF338" t="n">
        <v>8</v>
      </c>
      <c r="AG338" t="n">
        <v>9</v>
      </c>
      <c r="AH338" t="n">
        <v>2</v>
      </c>
      <c r="AI338" t="n">
        <v>3</v>
      </c>
      <c r="AJ338" t="n">
        <v>12</v>
      </c>
      <c r="AK338" t="n">
        <v>13</v>
      </c>
      <c r="AL338" t="n">
        <v>5</v>
      </c>
      <c r="AM338" t="n">
        <v>6</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HYPERLINK("https://creighton-primo.hosted.exlibrisgroup.com/primo-explore/search?tab=default_tab&amp;search_scope=EVERYTHING&amp;vid=01CRU&amp;lang=en_US&amp;offset=0&amp;query=any,contains,991001095069702656","Catalog Record")</f>
        <v/>
      </c>
      <c r="AT338">
        <f>HYPERLINK("http://www.worldcat.org/oclc/182750","WorldCat Record")</f>
        <v/>
      </c>
      <c r="AU338" t="inlineStr">
        <is>
          <t>808563499:eng</t>
        </is>
      </c>
      <c r="AV338" t="inlineStr">
        <is>
          <t>182750</t>
        </is>
      </c>
      <c r="AW338" t="inlineStr">
        <is>
          <t>991001095069702656</t>
        </is>
      </c>
      <c r="AX338" t="inlineStr">
        <is>
          <t>991001095069702656</t>
        </is>
      </c>
      <c r="AY338" t="inlineStr">
        <is>
          <t>2271319540002656</t>
        </is>
      </c>
      <c r="AZ338" t="inlineStr">
        <is>
          <t>BOOK</t>
        </is>
      </c>
      <c r="BC338" t="inlineStr">
        <is>
          <t>32285000912187</t>
        </is>
      </c>
      <c r="BD338" t="inlineStr">
        <is>
          <t>893596187</t>
        </is>
      </c>
    </row>
    <row r="339">
      <c r="A339" t="inlineStr">
        <is>
          <t>No</t>
        </is>
      </c>
      <c r="B339" t="inlineStr">
        <is>
          <t>BV3415.2 .W44 1988</t>
        </is>
      </c>
      <c r="C339" t="inlineStr">
        <is>
          <t>0                      BV 3415200W  44          1988</t>
        </is>
      </c>
      <c r="D339" t="inlineStr">
        <is>
          <t>Maryknoll in China : a history, 1918-1955 / Jean-Paul Wiest.</t>
        </is>
      </c>
      <c r="F339" t="inlineStr">
        <is>
          <t>No</t>
        </is>
      </c>
      <c r="G339" t="inlineStr">
        <is>
          <t>1</t>
        </is>
      </c>
      <c r="H339" t="inlineStr">
        <is>
          <t>No</t>
        </is>
      </c>
      <c r="I339" t="inlineStr">
        <is>
          <t>No</t>
        </is>
      </c>
      <c r="J339" t="inlineStr">
        <is>
          <t>0</t>
        </is>
      </c>
      <c r="K339" t="inlineStr">
        <is>
          <t>Wiest, Jean-Paul.</t>
        </is>
      </c>
      <c r="L339" t="inlineStr">
        <is>
          <t>Armonk, N.Y. : M.E. Sharpe, c1988.</t>
        </is>
      </c>
      <c r="M339" t="inlineStr">
        <is>
          <t>1988</t>
        </is>
      </c>
      <c r="O339" t="inlineStr">
        <is>
          <t>eng</t>
        </is>
      </c>
      <c r="P339" t="inlineStr">
        <is>
          <t>nyu</t>
        </is>
      </c>
      <c r="R339" t="inlineStr">
        <is>
          <t xml:space="preserve">BV </t>
        </is>
      </c>
      <c r="S339" t="n">
        <v>4</v>
      </c>
      <c r="T339" t="n">
        <v>4</v>
      </c>
      <c r="U339" t="inlineStr">
        <is>
          <t>2005-02-06</t>
        </is>
      </c>
      <c r="V339" t="inlineStr">
        <is>
          <t>2005-02-06</t>
        </is>
      </c>
      <c r="W339" t="inlineStr">
        <is>
          <t>1990-04-03</t>
        </is>
      </c>
      <c r="X339" t="inlineStr">
        <is>
          <t>1990-04-03</t>
        </is>
      </c>
      <c r="Y339" t="n">
        <v>308</v>
      </c>
      <c r="Z339" t="n">
        <v>249</v>
      </c>
      <c r="AA339" t="n">
        <v>283</v>
      </c>
      <c r="AB339" t="n">
        <v>1</v>
      </c>
      <c r="AC339" t="n">
        <v>1</v>
      </c>
      <c r="AD339" t="n">
        <v>20</v>
      </c>
      <c r="AE339" t="n">
        <v>23</v>
      </c>
      <c r="AF339" t="n">
        <v>7</v>
      </c>
      <c r="AG339" t="n">
        <v>9</v>
      </c>
      <c r="AH339" t="n">
        <v>6</v>
      </c>
      <c r="AI339" t="n">
        <v>6</v>
      </c>
      <c r="AJ339" t="n">
        <v>13</v>
      </c>
      <c r="AK339" t="n">
        <v>14</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HYPERLINK("https://creighton-primo.hosted.exlibrisgroup.com/primo-explore/search?tab=default_tab&amp;search_scope=EVERYTHING&amp;vid=01CRU&amp;lang=en_US&amp;offset=0&amp;query=any,contains,991001181349702656","Catalog Record")</f>
        <v/>
      </c>
      <c r="AT339">
        <f>HYPERLINK("http://www.worldcat.org/oclc/17108585","WorldCat Record")</f>
        <v/>
      </c>
      <c r="AU339" t="inlineStr">
        <is>
          <t>682438:eng</t>
        </is>
      </c>
      <c r="AV339" t="inlineStr">
        <is>
          <t>17108585</t>
        </is>
      </c>
      <c r="AW339" t="inlineStr">
        <is>
          <t>991001181349702656</t>
        </is>
      </c>
      <c r="AX339" t="inlineStr">
        <is>
          <t>991001181349702656</t>
        </is>
      </c>
      <c r="AY339" t="inlineStr">
        <is>
          <t>2259673040002656</t>
        </is>
      </c>
      <c r="AZ339" t="inlineStr">
        <is>
          <t>BOOK</t>
        </is>
      </c>
      <c r="BB339" t="inlineStr">
        <is>
          <t>9780873324182</t>
        </is>
      </c>
      <c r="BC339" t="inlineStr">
        <is>
          <t>32285000093475</t>
        </is>
      </c>
      <c r="BD339" t="inlineStr">
        <is>
          <t>893334135</t>
        </is>
      </c>
    </row>
    <row r="340">
      <c r="A340" t="inlineStr">
        <is>
          <t>No</t>
        </is>
      </c>
      <c r="B340" t="inlineStr">
        <is>
          <t>BV3417 .M363 1997</t>
        </is>
      </c>
      <c r="C340" t="inlineStr">
        <is>
          <t>0                      BV 3417000M  363         1997</t>
        </is>
      </c>
      <c r="D340" t="inlineStr">
        <is>
          <t>The Society of Jesus and China : a historical-theological essay / Edward J. Malatesta.</t>
        </is>
      </c>
      <c r="F340" t="inlineStr">
        <is>
          <t>No</t>
        </is>
      </c>
      <c r="G340" t="inlineStr">
        <is>
          <t>1</t>
        </is>
      </c>
      <c r="H340" t="inlineStr">
        <is>
          <t>No</t>
        </is>
      </c>
      <c r="I340" t="inlineStr">
        <is>
          <t>No</t>
        </is>
      </c>
      <c r="J340" t="inlineStr">
        <is>
          <t>0</t>
        </is>
      </c>
      <c r="K340" t="inlineStr">
        <is>
          <t>Malatesta, Edward.</t>
        </is>
      </c>
      <c r="L340" t="inlineStr">
        <is>
          <t>St. Louis, Mo. : Institute of Jesuit Sources ; Washington, D.C. : published on behalf of Jesuit International Ministries, Jesuit Conference, 1997.</t>
        </is>
      </c>
      <c r="M340" t="inlineStr">
        <is>
          <t>1997</t>
        </is>
      </c>
      <c r="O340" t="inlineStr">
        <is>
          <t>eng</t>
        </is>
      </c>
      <c r="P340" t="inlineStr">
        <is>
          <t>mou</t>
        </is>
      </c>
      <c r="R340" t="inlineStr">
        <is>
          <t xml:space="preserve">BV </t>
        </is>
      </c>
      <c r="S340" t="n">
        <v>5</v>
      </c>
      <c r="T340" t="n">
        <v>5</v>
      </c>
      <c r="U340" t="inlineStr">
        <is>
          <t>2005-02-18</t>
        </is>
      </c>
      <c r="V340" t="inlineStr">
        <is>
          <t>2005-02-18</t>
        </is>
      </c>
      <c r="W340" t="inlineStr">
        <is>
          <t>2000-01-11</t>
        </is>
      </c>
      <c r="X340" t="inlineStr">
        <is>
          <t>2000-01-11</t>
        </is>
      </c>
      <c r="Y340" t="n">
        <v>24</v>
      </c>
      <c r="Z340" t="n">
        <v>21</v>
      </c>
      <c r="AA340" t="n">
        <v>21</v>
      </c>
      <c r="AB340" t="n">
        <v>1</v>
      </c>
      <c r="AC340" t="n">
        <v>1</v>
      </c>
      <c r="AD340" t="n">
        <v>13</v>
      </c>
      <c r="AE340" t="n">
        <v>13</v>
      </c>
      <c r="AF340" t="n">
        <v>3</v>
      </c>
      <c r="AG340" t="n">
        <v>3</v>
      </c>
      <c r="AH340" t="n">
        <v>3</v>
      </c>
      <c r="AI340" t="n">
        <v>3</v>
      </c>
      <c r="AJ340" t="n">
        <v>12</v>
      </c>
      <c r="AK340" t="n">
        <v>12</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HYPERLINK("https://creighton-primo.hosted.exlibrisgroup.com/primo-explore/search?tab=default_tab&amp;search_scope=EVERYTHING&amp;vid=01CRU&amp;lang=en_US&amp;offset=0&amp;query=any,contains,991002821369702656","Catalog Record")</f>
        <v/>
      </c>
      <c r="AT340">
        <f>HYPERLINK("http://www.worldcat.org/oclc/37130090","WorldCat Record")</f>
        <v/>
      </c>
      <c r="AU340" t="inlineStr">
        <is>
          <t>4152908345:eng</t>
        </is>
      </c>
      <c r="AV340" t="inlineStr">
        <is>
          <t>37130090</t>
        </is>
      </c>
      <c r="AW340" t="inlineStr">
        <is>
          <t>991002821369702656</t>
        </is>
      </c>
      <c r="AX340" t="inlineStr">
        <is>
          <t>991002821369702656</t>
        </is>
      </c>
      <c r="AY340" t="inlineStr">
        <is>
          <t>2267103990002656</t>
        </is>
      </c>
      <c r="AZ340" t="inlineStr">
        <is>
          <t>BOOK</t>
        </is>
      </c>
      <c r="BC340" t="inlineStr">
        <is>
          <t>32285003639506</t>
        </is>
      </c>
      <c r="BD340" t="inlineStr">
        <is>
          <t>893524089</t>
        </is>
      </c>
    </row>
    <row r="341">
      <c r="A341" t="inlineStr">
        <is>
          <t>No</t>
        </is>
      </c>
      <c r="B341" t="inlineStr">
        <is>
          <t>BV3423.L6 B68</t>
        </is>
      </c>
      <c r="C341" t="inlineStr">
        <is>
          <t>0                      BV 3423000L  6                  B  68</t>
        </is>
      </c>
      <c r="D341" t="inlineStr">
        <is>
          <t>Strong man's prey / A.J. Broomhall.</t>
        </is>
      </c>
      <c r="F341" t="inlineStr">
        <is>
          <t>No</t>
        </is>
      </c>
      <c r="G341" t="inlineStr">
        <is>
          <t>1</t>
        </is>
      </c>
      <c r="H341" t="inlineStr">
        <is>
          <t>No</t>
        </is>
      </c>
      <c r="I341" t="inlineStr">
        <is>
          <t>No</t>
        </is>
      </c>
      <c r="J341" t="inlineStr">
        <is>
          <t>0</t>
        </is>
      </c>
      <c r="K341" t="inlineStr">
        <is>
          <t>Broomhall, A. J.</t>
        </is>
      </c>
      <c r="L341" t="inlineStr">
        <is>
          <t>London, China Inland Mission, 1953.</t>
        </is>
      </c>
      <c r="M341" t="inlineStr">
        <is>
          <t>1953</t>
        </is>
      </c>
      <c r="O341" t="inlineStr">
        <is>
          <t>eng</t>
        </is>
      </c>
      <c r="P341" t="inlineStr">
        <is>
          <t>enk</t>
        </is>
      </c>
      <c r="R341" t="inlineStr">
        <is>
          <t xml:space="preserve">BV </t>
        </is>
      </c>
      <c r="S341" t="n">
        <v>5</v>
      </c>
      <c r="T341" t="n">
        <v>5</v>
      </c>
      <c r="U341" t="inlineStr">
        <is>
          <t>2001-07-05</t>
        </is>
      </c>
      <c r="V341" t="inlineStr">
        <is>
          <t>2001-07-05</t>
        </is>
      </c>
      <c r="W341" t="inlineStr">
        <is>
          <t>1992-02-13</t>
        </is>
      </c>
      <c r="X341" t="inlineStr">
        <is>
          <t>1992-02-13</t>
        </is>
      </c>
      <c r="Y341" t="n">
        <v>84</v>
      </c>
      <c r="Z341" t="n">
        <v>60</v>
      </c>
      <c r="AA341" t="n">
        <v>61</v>
      </c>
      <c r="AB341" t="n">
        <v>1</v>
      </c>
      <c r="AC341" t="n">
        <v>1</v>
      </c>
      <c r="AD341" t="n">
        <v>2</v>
      </c>
      <c r="AE341" t="n">
        <v>2</v>
      </c>
      <c r="AF341" t="n">
        <v>1</v>
      </c>
      <c r="AG341" t="n">
        <v>1</v>
      </c>
      <c r="AH341" t="n">
        <v>0</v>
      </c>
      <c r="AI341" t="n">
        <v>0</v>
      </c>
      <c r="AJ341" t="n">
        <v>1</v>
      </c>
      <c r="AK341" t="n">
        <v>1</v>
      </c>
      <c r="AL341" t="n">
        <v>0</v>
      </c>
      <c r="AM341" t="n">
        <v>0</v>
      </c>
      <c r="AN341" t="n">
        <v>0</v>
      </c>
      <c r="AO341" t="n">
        <v>0</v>
      </c>
      <c r="AP341" t="inlineStr">
        <is>
          <t>No</t>
        </is>
      </c>
      <c r="AQ341" t="inlineStr">
        <is>
          <t>Yes</t>
        </is>
      </c>
      <c r="AR341">
        <f>HYPERLINK("http://catalog.hathitrust.org/Record/001414136","HathiTrust Record")</f>
        <v/>
      </c>
      <c r="AS341">
        <f>HYPERLINK("https://creighton-primo.hosted.exlibrisgroup.com/primo-explore/search?tab=default_tab&amp;search_scope=EVERYTHING&amp;vid=01CRU&amp;lang=en_US&amp;offset=0&amp;query=any,contains,991004203489702656","Catalog Record")</f>
        <v/>
      </c>
      <c r="AT341">
        <f>HYPERLINK("http://www.worldcat.org/oclc/2657698","WorldCat Record")</f>
        <v/>
      </c>
      <c r="AU341" t="inlineStr">
        <is>
          <t>429214617:eng</t>
        </is>
      </c>
      <c r="AV341" t="inlineStr">
        <is>
          <t>2657698</t>
        </is>
      </c>
      <c r="AW341" t="inlineStr">
        <is>
          <t>991004203489702656</t>
        </is>
      </c>
      <c r="AX341" t="inlineStr">
        <is>
          <t>991004203489702656</t>
        </is>
      </c>
      <c r="AY341" t="inlineStr">
        <is>
          <t>2256018360002656</t>
        </is>
      </c>
      <c r="AZ341" t="inlineStr">
        <is>
          <t>BOOK</t>
        </is>
      </c>
      <c r="BC341" t="inlineStr">
        <is>
          <t>32285000928746</t>
        </is>
      </c>
      <c r="BD341" t="inlineStr">
        <is>
          <t>893618375</t>
        </is>
      </c>
    </row>
    <row r="342">
      <c r="A342" t="inlineStr">
        <is>
          <t>No</t>
        </is>
      </c>
      <c r="B342" t="inlineStr">
        <is>
          <t>BV3427.A1 T6 1984</t>
        </is>
      </c>
      <c r="C342" t="inlineStr">
        <is>
          <t>0                      BV 3427000A  1                  T  6           1984</t>
        </is>
      </c>
      <c r="D342" t="inlineStr">
        <is>
          <t>"To save their heathen souls" : voyage to and life in Fouchow, China, based on Wentworth diaries and letters, 1854-1858 / edited by Polly Park ; foreword by Francis West.</t>
        </is>
      </c>
      <c r="F342" t="inlineStr">
        <is>
          <t>No</t>
        </is>
      </c>
      <c r="G342" t="inlineStr">
        <is>
          <t>1</t>
        </is>
      </c>
      <c r="H342" t="inlineStr">
        <is>
          <t>No</t>
        </is>
      </c>
      <c r="I342" t="inlineStr">
        <is>
          <t>No</t>
        </is>
      </c>
      <c r="J342" t="inlineStr">
        <is>
          <t>0</t>
        </is>
      </c>
      <c r="L342" t="inlineStr">
        <is>
          <t>Allison Park, Pa. : Pickwick Publications, 1984.</t>
        </is>
      </c>
      <c r="M342" t="inlineStr">
        <is>
          <t>1984</t>
        </is>
      </c>
      <c r="O342" t="inlineStr">
        <is>
          <t>eng</t>
        </is>
      </c>
      <c r="P342" t="inlineStr">
        <is>
          <t>pau</t>
        </is>
      </c>
      <c r="Q342" t="inlineStr">
        <is>
          <t>Pittsburgh theological monographs. New series ; 9</t>
        </is>
      </c>
      <c r="R342" t="inlineStr">
        <is>
          <t xml:space="preserve">BV </t>
        </is>
      </c>
      <c r="S342" t="n">
        <v>2</v>
      </c>
      <c r="T342" t="n">
        <v>2</v>
      </c>
      <c r="U342" t="inlineStr">
        <is>
          <t>1995-09-07</t>
        </is>
      </c>
      <c r="V342" t="inlineStr">
        <is>
          <t>1995-09-07</t>
        </is>
      </c>
      <c r="W342" t="inlineStr">
        <is>
          <t>1992-02-13</t>
        </is>
      </c>
      <c r="X342" t="inlineStr">
        <is>
          <t>1992-02-13</t>
        </is>
      </c>
      <c r="Y342" t="n">
        <v>165</v>
      </c>
      <c r="Z342" t="n">
        <v>139</v>
      </c>
      <c r="AA342" t="n">
        <v>140</v>
      </c>
      <c r="AB342" t="n">
        <v>1</v>
      </c>
      <c r="AC342" t="n">
        <v>1</v>
      </c>
      <c r="AD342" t="n">
        <v>5</v>
      </c>
      <c r="AE342" t="n">
        <v>5</v>
      </c>
      <c r="AF342" t="n">
        <v>1</v>
      </c>
      <c r="AG342" t="n">
        <v>1</v>
      </c>
      <c r="AH342" t="n">
        <v>3</v>
      </c>
      <c r="AI342" t="n">
        <v>3</v>
      </c>
      <c r="AJ342" t="n">
        <v>3</v>
      </c>
      <c r="AK342" t="n">
        <v>3</v>
      </c>
      <c r="AL342" t="n">
        <v>0</v>
      </c>
      <c r="AM342" t="n">
        <v>0</v>
      </c>
      <c r="AN342" t="n">
        <v>0</v>
      </c>
      <c r="AO342" t="n">
        <v>0</v>
      </c>
      <c r="AP342" t="inlineStr">
        <is>
          <t>No</t>
        </is>
      </c>
      <c r="AQ342" t="inlineStr">
        <is>
          <t>Yes</t>
        </is>
      </c>
      <c r="AR342">
        <f>HYPERLINK("http://catalog.hathitrust.org/Record/000121062","HathiTrust Record")</f>
        <v/>
      </c>
      <c r="AS342">
        <f>HYPERLINK("https://creighton-primo.hosted.exlibrisgroup.com/primo-explore/search?tab=default_tab&amp;search_scope=EVERYTHING&amp;vid=01CRU&amp;lang=en_US&amp;offset=0&amp;query=any,contains,991000378729702656","Catalog Record")</f>
        <v/>
      </c>
      <c r="AT342">
        <f>HYPERLINK("http://www.worldcat.org/oclc/10483466","WorldCat Record")</f>
        <v/>
      </c>
      <c r="AU342" t="inlineStr">
        <is>
          <t>889759899:eng</t>
        </is>
      </c>
      <c r="AV342" t="inlineStr">
        <is>
          <t>10483466</t>
        </is>
      </c>
      <c r="AW342" t="inlineStr">
        <is>
          <t>991000378729702656</t>
        </is>
      </c>
      <c r="AX342" t="inlineStr">
        <is>
          <t>991000378729702656</t>
        </is>
      </c>
      <c r="AY342" t="inlineStr">
        <is>
          <t>2263418290002656</t>
        </is>
      </c>
      <c r="AZ342" t="inlineStr">
        <is>
          <t>BOOK</t>
        </is>
      </c>
      <c r="BB342" t="inlineStr">
        <is>
          <t>9780915138661</t>
        </is>
      </c>
      <c r="BC342" t="inlineStr">
        <is>
          <t>32285000928753</t>
        </is>
      </c>
      <c r="BD342" t="inlineStr">
        <is>
          <t>893431891</t>
        </is>
      </c>
    </row>
    <row r="343">
      <c r="A343" t="inlineStr">
        <is>
          <t>No</t>
        </is>
      </c>
      <c r="B343" t="inlineStr">
        <is>
          <t>BV3427.A3 A35</t>
        </is>
      </c>
      <c r="C343" t="inlineStr">
        <is>
          <t>0                      BV 3427000A  3                  A  35</t>
        </is>
      </c>
      <c r="D343" t="inlineStr">
        <is>
          <t>Memoir of the Rev. David Abeel, D.D. : late missionary to China / [compiled] by G.R. Williamson.</t>
        </is>
      </c>
      <c r="F343" t="inlineStr">
        <is>
          <t>No</t>
        </is>
      </c>
      <c r="G343" t="inlineStr">
        <is>
          <t>1</t>
        </is>
      </c>
      <c r="H343" t="inlineStr">
        <is>
          <t>No</t>
        </is>
      </c>
      <c r="I343" t="inlineStr">
        <is>
          <t>No</t>
        </is>
      </c>
      <c r="J343" t="inlineStr">
        <is>
          <t>0</t>
        </is>
      </c>
      <c r="K343" t="inlineStr">
        <is>
          <t>Abeel, David, 1804-1846.</t>
        </is>
      </c>
      <c r="L343" t="inlineStr">
        <is>
          <t>Wilmington, Del., Scholarly Resources [1972]</t>
        </is>
      </c>
      <c r="M343" t="inlineStr">
        <is>
          <t>1972</t>
        </is>
      </c>
      <c r="O343" t="inlineStr">
        <is>
          <t>eng</t>
        </is>
      </c>
      <c r="P343" t="inlineStr">
        <is>
          <t>deu</t>
        </is>
      </c>
      <c r="R343" t="inlineStr">
        <is>
          <t xml:space="preserve">BV </t>
        </is>
      </c>
      <c r="S343" t="n">
        <v>2</v>
      </c>
      <c r="T343" t="n">
        <v>2</v>
      </c>
      <c r="U343" t="inlineStr">
        <is>
          <t>1994-01-20</t>
        </is>
      </c>
      <c r="V343" t="inlineStr">
        <is>
          <t>1994-01-20</t>
        </is>
      </c>
      <c r="W343" t="inlineStr">
        <is>
          <t>1992-02-18</t>
        </is>
      </c>
      <c r="X343" t="inlineStr">
        <is>
          <t>1992-02-18</t>
        </is>
      </c>
      <c r="Y343" t="n">
        <v>128</v>
      </c>
      <c r="Z343" t="n">
        <v>105</v>
      </c>
      <c r="AA343" t="n">
        <v>117</v>
      </c>
      <c r="AB343" t="n">
        <v>1</v>
      </c>
      <c r="AC343" t="n">
        <v>1</v>
      </c>
      <c r="AD343" t="n">
        <v>5</v>
      </c>
      <c r="AE343" t="n">
        <v>5</v>
      </c>
      <c r="AF343" t="n">
        <v>0</v>
      </c>
      <c r="AG343" t="n">
        <v>0</v>
      </c>
      <c r="AH343" t="n">
        <v>3</v>
      </c>
      <c r="AI343" t="n">
        <v>3</v>
      </c>
      <c r="AJ343" t="n">
        <v>3</v>
      </c>
      <c r="AK343" t="n">
        <v>3</v>
      </c>
      <c r="AL343" t="n">
        <v>0</v>
      </c>
      <c r="AM343" t="n">
        <v>0</v>
      </c>
      <c r="AN343" t="n">
        <v>0</v>
      </c>
      <c r="AO343" t="n">
        <v>0</v>
      </c>
      <c r="AP343" t="inlineStr">
        <is>
          <t>No</t>
        </is>
      </c>
      <c r="AQ343" t="inlineStr">
        <is>
          <t>Yes</t>
        </is>
      </c>
      <c r="AR343">
        <f>HYPERLINK("http://catalog.hathitrust.org/Record/000016680","HathiTrust Record")</f>
        <v/>
      </c>
      <c r="AS343">
        <f>HYPERLINK("https://creighton-primo.hosted.exlibrisgroup.com/primo-explore/search?tab=default_tab&amp;search_scope=EVERYTHING&amp;vid=01CRU&amp;lang=en_US&amp;offset=0&amp;query=any,contains,991003470759702656","Catalog Record")</f>
        <v/>
      </c>
      <c r="AT343">
        <f>HYPERLINK("http://www.worldcat.org/oclc/1013139","WorldCat Record")</f>
        <v/>
      </c>
      <c r="AU343" t="inlineStr">
        <is>
          <t>3901102728:eng</t>
        </is>
      </c>
      <c r="AV343" t="inlineStr">
        <is>
          <t>1013139</t>
        </is>
      </c>
      <c r="AW343" t="inlineStr">
        <is>
          <t>991003470759702656</t>
        </is>
      </c>
      <c r="AX343" t="inlineStr">
        <is>
          <t>991003470759702656</t>
        </is>
      </c>
      <c r="AY343" t="inlineStr">
        <is>
          <t>2255165420002656</t>
        </is>
      </c>
      <c r="AZ343" t="inlineStr">
        <is>
          <t>BOOK</t>
        </is>
      </c>
      <c r="BB343" t="inlineStr">
        <is>
          <t>9780842013536</t>
        </is>
      </c>
      <c r="BC343" t="inlineStr">
        <is>
          <t>32285000928761</t>
        </is>
      </c>
      <c r="BD343" t="inlineStr">
        <is>
          <t>893531207</t>
        </is>
      </c>
    </row>
    <row r="344">
      <c r="A344" t="inlineStr">
        <is>
          <t>No</t>
        </is>
      </c>
      <c r="B344" t="inlineStr">
        <is>
          <t>BV3427.E47 E52 1980</t>
        </is>
      </c>
      <c r="C344" t="inlineStr">
        <is>
          <t>0                      BV 3427000E  47                 E  52          1980</t>
        </is>
      </c>
      <c r="D344" t="inlineStr">
        <is>
          <t>James G. Endicott : rebel out of China / Stephen Endicott.</t>
        </is>
      </c>
      <c r="F344" t="inlineStr">
        <is>
          <t>No</t>
        </is>
      </c>
      <c r="G344" t="inlineStr">
        <is>
          <t>1</t>
        </is>
      </c>
      <c r="H344" t="inlineStr">
        <is>
          <t>No</t>
        </is>
      </c>
      <c r="I344" t="inlineStr">
        <is>
          <t>No</t>
        </is>
      </c>
      <c r="J344" t="inlineStr">
        <is>
          <t>0</t>
        </is>
      </c>
      <c r="K344" t="inlineStr">
        <is>
          <t>Endicott, Stephen Lyon, 1928-</t>
        </is>
      </c>
      <c r="L344" t="inlineStr">
        <is>
          <t>Toronto ; Buffalo : University of Toronto Press, 1980.</t>
        </is>
      </c>
      <c r="M344" t="inlineStr">
        <is>
          <t>1980</t>
        </is>
      </c>
      <c r="O344" t="inlineStr">
        <is>
          <t>eng</t>
        </is>
      </c>
      <c r="P344" t="inlineStr">
        <is>
          <t>onc</t>
        </is>
      </c>
      <c r="R344" t="inlineStr">
        <is>
          <t xml:space="preserve">BV </t>
        </is>
      </c>
      <c r="S344" t="n">
        <v>5</v>
      </c>
      <c r="T344" t="n">
        <v>5</v>
      </c>
      <c r="U344" t="inlineStr">
        <is>
          <t>1995-03-13</t>
        </is>
      </c>
      <c r="V344" t="inlineStr">
        <is>
          <t>1995-03-13</t>
        </is>
      </c>
      <c r="W344" t="inlineStr">
        <is>
          <t>1992-02-18</t>
        </is>
      </c>
      <c r="X344" t="inlineStr">
        <is>
          <t>1992-02-18</t>
        </is>
      </c>
      <c r="Y344" t="n">
        <v>364</v>
      </c>
      <c r="Z344" t="n">
        <v>246</v>
      </c>
      <c r="AA344" t="n">
        <v>252</v>
      </c>
      <c r="AB344" t="n">
        <v>2</v>
      </c>
      <c r="AC344" t="n">
        <v>2</v>
      </c>
      <c r="AD344" t="n">
        <v>7</v>
      </c>
      <c r="AE344" t="n">
        <v>7</v>
      </c>
      <c r="AF344" t="n">
        <v>1</v>
      </c>
      <c r="AG344" t="n">
        <v>1</v>
      </c>
      <c r="AH344" t="n">
        <v>3</v>
      </c>
      <c r="AI344" t="n">
        <v>3</v>
      </c>
      <c r="AJ344" t="n">
        <v>5</v>
      </c>
      <c r="AK344" t="n">
        <v>5</v>
      </c>
      <c r="AL344" t="n">
        <v>1</v>
      </c>
      <c r="AM344" t="n">
        <v>1</v>
      </c>
      <c r="AN344" t="n">
        <v>0</v>
      </c>
      <c r="AO344" t="n">
        <v>0</v>
      </c>
      <c r="AP344" t="inlineStr">
        <is>
          <t>No</t>
        </is>
      </c>
      <c r="AQ344" t="inlineStr">
        <is>
          <t>Yes</t>
        </is>
      </c>
      <c r="AR344">
        <f>HYPERLINK("http://catalog.hathitrust.org/Record/000733602","HathiTrust Record")</f>
        <v/>
      </c>
      <c r="AS344">
        <f>HYPERLINK("https://creighton-primo.hosted.exlibrisgroup.com/primo-explore/search?tab=default_tab&amp;search_scope=EVERYTHING&amp;vid=01CRU&amp;lang=en_US&amp;offset=0&amp;query=any,contains,991005095179702656","Catalog Record")</f>
        <v/>
      </c>
      <c r="AT344">
        <f>HYPERLINK("http://www.worldcat.org/oclc/7272291","WorldCat Record")</f>
        <v/>
      </c>
      <c r="AU344" t="inlineStr">
        <is>
          <t>4057738:eng</t>
        </is>
      </c>
      <c r="AV344" t="inlineStr">
        <is>
          <t>7272291</t>
        </is>
      </c>
      <c r="AW344" t="inlineStr">
        <is>
          <t>991005095179702656</t>
        </is>
      </c>
      <c r="AX344" t="inlineStr">
        <is>
          <t>991005095179702656</t>
        </is>
      </c>
      <c r="AY344" t="inlineStr">
        <is>
          <t>2261402560002656</t>
        </is>
      </c>
      <c r="AZ344" t="inlineStr">
        <is>
          <t>BOOK</t>
        </is>
      </c>
      <c r="BB344" t="inlineStr">
        <is>
          <t>9780802023773</t>
        </is>
      </c>
      <c r="BC344" t="inlineStr">
        <is>
          <t>32285000928779</t>
        </is>
      </c>
      <c r="BD344" t="inlineStr">
        <is>
          <t>893694750</t>
        </is>
      </c>
    </row>
    <row r="345">
      <c r="A345" t="inlineStr">
        <is>
          <t>No</t>
        </is>
      </c>
      <c r="B345" t="inlineStr">
        <is>
          <t>BV3427.G25 B3 1973</t>
        </is>
      </c>
      <c r="C345" t="inlineStr">
        <is>
          <t>0                      BV 3427000G  25                 B  3           1973</t>
        </is>
      </c>
      <c r="D345" t="inlineStr">
        <is>
          <t>The red lacquered gate / William E. Barrett.</t>
        </is>
      </c>
      <c r="F345" t="inlineStr">
        <is>
          <t>No</t>
        </is>
      </c>
      <c r="G345" t="inlineStr">
        <is>
          <t>1</t>
        </is>
      </c>
      <c r="H345" t="inlineStr">
        <is>
          <t>No</t>
        </is>
      </c>
      <c r="I345" t="inlineStr">
        <is>
          <t>No</t>
        </is>
      </c>
      <c r="J345" t="inlineStr">
        <is>
          <t>0</t>
        </is>
      </c>
      <c r="K345" t="inlineStr">
        <is>
          <t>Barrett, William E. (William Edmund), 1900-1986.</t>
        </is>
      </c>
      <c r="L345" t="inlineStr">
        <is>
          <t>New York : Avon Books, 1973.</t>
        </is>
      </c>
      <c r="M345" t="inlineStr">
        <is>
          <t>1973</t>
        </is>
      </c>
      <c r="O345" t="inlineStr">
        <is>
          <t>eng</t>
        </is>
      </c>
      <c r="P345" t="inlineStr">
        <is>
          <t>nyu</t>
        </is>
      </c>
      <c r="Q345" t="inlineStr">
        <is>
          <t>Avon ; 16550</t>
        </is>
      </c>
      <c r="R345" t="inlineStr">
        <is>
          <t xml:space="preserve">BV </t>
        </is>
      </c>
      <c r="S345" t="n">
        <v>1</v>
      </c>
      <c r="T345" t="n">
        <v>1</v>
      </c>
      <c r="U345" t="inlineStr">
        <is>
          <t>1993-08-27</t>
        </is>
      </c>
      <c r="V345" t="inlineStr">
        <is>
          <t>1993-08-27</t>
        </is>
      </c>
      <c r="W345" t="inlineStr">
        <is>
          <t>1992-02-18</t>
        </is>
      </c>
      <c r="X345" t="inlineStr">
        <is>
          <t>1992-02-18</t>
        </is>
      </c>
      <c r="Y345" t="n">
        <v>12</v>
      </c>
      <c r="Z345" t="n">
        <v>9</v>
      </c>
      <c r="AA345" t="n">
        <v>217</v>
      </c>
      <c r="AB345" t="n">
        <v>1</v>
      </c>
      <c r="AC345" t="n">
        <v>7</v>
      </c>
      <c r="AD345" t="n">
        <v>1</v>
      </c>
      <c r="AE345" t="n">
        <v>19</v>
      </c>
      <c r="AF345" t="n">
        <v>0</v>
      </c>
      <c r="AG345" t="n">
        <v>4</v>
      </c>
      <c r="AH345" t="n">
        <v>0</v>
      </c>
      <c r="AI345" t="n">
        <v>6</v>
      </c>
      <c r="AJ345" t="n">
        <v>1</v>
      </c>
      <c r="AK345" t="n">
        <v>13</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HYPERLINK("https://creighton-primo.hosted.exlibrisgroup.com/primo-explore/search?tab=default_tab&amp;search_scope=EVERYTHING&amp;vid=01CRU&amp;lang=en_US&amp;offset=0&amp;query=any,contains,991004880579702656","Catalog Record")</f>
        <v/>
      </c>
      <c r="AT345">
        <f>HYPERLINK("http://www.worldcat.org/oclc/5815601","WorldCat Record")</f>
        <v/>
      </c>
      <c r="AU345" t="inlineStr">
        <is>
          <t>135983941:eng</t>
        </is>
      </c>
      <c r="AV345" t="inlineStr">
        <is>
          <t>5815601</t>
        </is>
      </c>
      <c r="AW345" t="inlineStr">
        <is>
          <t>991004880579702656</t>
        </is>
      </c>
      <c r="AX345" t="inlineStr">
        <is>
          <t>991004880579702656</t>
        </is>
      </c>
      <c r="AY345" t="inlineStr">
        <is>
          <t>2260048600002656</t>
        </is>
      </c>
      <c r="AZ345" t="inlineStr">
        <is>
          <t>BOOK</t>
        </is>
      </c>
      <c r="BB345" t="inlineStr">
        <is>
          <t>9780380015221</t>
        </is>
      </c>
      <c r="BC345" t="inlineStr">
        <is>
          <t>32285000928787</t>
        </is>
      </c>
      <c r="BD345" t="inlineStr">
        <is>
          <t>893606561</t>
        </is>
      </c>
    </row>
    <row r="346">
      <c r="A346" t="inlineStr">
        <is>
          <t>No</t>
        </is>
      </c>
      <c r="B346" t="inlineStr">
        <is>
          <t>BV3427.G37 A38 1985</t>
        </is>
      </c>
      <c r="C346" t="inlineStr">
        <is>
          <t>0                      BV 3427000G  37                 A  38          1985</t>
        </is>
      </c>
      <c r="D346" t="inlineStr">
        <is>
          <t>Within the four seas : the memoirs of B.A. Garside / with a foreword by Walter H. Judd.</t>
        </is>
      </c>
      <c r="F346" t="inlineStr">
        <is>
          <t>No</t>
        </is>
      </c>
      <c r="G346" t="inlineStr">
        <is>
          <t>1</t>
        </is>
      </c>
      <c r="H346" t="inlineStr">
        <is>
          <t>No</t>
        </is>
      </c>
      <c r="I346" t="inlineStr">
        <is>
          <t>No</t>
        </is>
      </c>
      <c r="J346" t="inlineStr">
        <is>
          <t>0</t>
        </is>
      </c>
      <c r="K346" t="inlineStr">
        <is>
          <t>Garside, B. A. (Bettis Alston), 1894-1989.</t>
        </is>
      </c>
      <c r="L346" t="inlineStr">
        <is>
          <t>New York : Frederic C. Beil, 1985.</t>
        </is>
      </c>
      <c r="M346" t="inlineStr">
        <is>
          <t>1985</t>
        </is>
      </c>
      <c r="O346" t="inlineStr">
        <is>
          <t>eng</t>
        </is>
      </c>
      <c r="P346" t="inlineStr">
        <is>
          <t>nyu</t>
        </is>
      </c>
      <c r="R346" t="inlineStr">
        <is>
          <t xml:space="preserve">BV </t>
        </is>
      </c>
      <c r="S346" t="n">
        <v>3</v>
      </c>
      <c r="T346" t="n">
        <v>3</v>
      </c>
      <c r="U346" t="inlineStr">
        <is>
          <t>1994-06-09</t>
        </is>
      </c>
      <c r="V346" t="inlineStr">
        <is>
          <t>1994-06-09</t>
        </is>
      </c>
      <c r="W346" t="inlineStr">
        <is>
          <t>1992-02-18</t>
        </is>
      </c>
      <c r="X346" t="inlineStr">
        <is>
          <t>1992-02-18</t>
        </is>
      </c>
      <c r="Y346" t="n">
        <v>182</v>
      </c>
      <c r="Z346" t="n">
        <v>181</v>
      </c>
      <c r="AA346" t="n">
        <v>184</v>
      </c>
      <c r="AB346" t="n">
        <v>4</v>
      </c>
      <c r="AC346" t="n">
        <v>4</v>
      </c>
      <c r="AD346" t="n">
        <v>10</v>
      </c>
      <c r="AE346" t="n">
        <v>10</v>
      </c>
      <c r="AF346" t="n">
        <v>2</v>
      </c>
      <c r="AG346" t="n">
        <v>2</v>
      </c>
      <c r="AH346" t="n">
        <v>2</v>
      </c>
      <c r="AI346" t="n">
        <v>2</v>
      </c>
      <c r="AJ346" t="n">
        <v>4</v>
      </c>
      <c r="AK346" t="n">
        <v>4</v>
      </c>
      <c r="AL346" t="n">
        <v>3</v>
      </c>
      <c r="AM346" t="n">
        <v>3</v>
      </c>
      <c r="AN346" t="n">
        <v>0</v>
      </c>
      <c r="AO346" t="n">
        <v>0</v>
      </c>
      <c r="AP346" t="inlineStr">
        <is>
          <t>No</t>
        </is>
      </c>
      <c r="AQ346" t="inlineStr">
        <is>
          <t>Yes</t>
        </is>
      </c>
      <c r="AR346">
        <f>HYPERLINK("http://catalog.hathitrust.org/Record/000397065","HathiTrust Record")</f>
        <v/>
      </c>
      <c r="AS346">
        <f>HYPERLINK("https://creighton-primo.hosted.exlibrisgroup.com/primo-explore/search?tab=default_tab&amp;search_scope=EVERYTHING&amp;vid=01CRU&amp;lang=en_US&amp;offset=0&amp;query=any,contains,991000891179702656","Catalog Record")</f>
        <v/>
      </c>
      <c r="AT346">
        <f>HYPERLINK("http://www.worldcat.org/oclc/13914576","WorldCat Record")</f>
        <v/>
      </c>
      <c r="AU346" t="inlineStr">
        <is>
          <t>7142845:eng</t>
        </is>
      </c>
      <c r="AV346" t="inlineStr">
        <is>
          <t>13914576</t>
        </is>
      </c>
      <c r="AW346" t="inlineStr">
        <is>
          <t>991000891179702656</t>
        </is>
      </c>
      <c r="AX346" t="inlineStr">
        <is>
          <t>991000891179702656</t>
        </is>
      </c>
      <c r="AY346" t="inlineStr">
        <is>
          <t>2268814810002656</t>
        </is>
      </c>
      <c r="AZ346" t="inlineStr">
        <is>
          <t>BOOK</t>
        </is>
      </c>
      <c r="BB346" t="inlineStr">
        <is>
          <t>9780913720585</t>
        </is>
      </c>
      <c r="BC346" t="inlineStr">
        <is>
          <t>32285000928795</t>
        </is>
      </c>
      <c r="BD346" t="inlineStr">
        <is>
          <t>893231512</t>
        </is>
      </c>
    </row>
    <row r="347">
      <c r="A347" t="inlineStr">
        <is>
          <t>No</t>
        </is>
      </c>
      <c r="B347" t="inlineStr">
        <is>
          <t>BV3427.G7 A3 1953</t>
        </is>
      </c>
      <c r="C347" t="inlineStr">
        <is>
          <t>0                      BV 3427000G  7                  A  3           1953</t>
        </is>
      </c>
      <c r="D347" t="inlineStr">
        <is>
          <t>Calvary in China.</t>
        </is>
      </c>
      <c r="F347" t="inlineStr">
        <is>
          <t>No</t>
        </is>
      </c>
      <c r="G347" t="inlineStr">
        <is>
          <t>1</t>
        </is>
      </c>
      <c r="H347" t="inlineStr">
        <is>
          <t>No</t>
        </is>
      </c>
      <c r="I347" t="inlineStr">
        <is>
          <t>No</t>
        </is>
      </c>
      <c r="J347" t="inlineStr">
        <is>
          <t>0</t>
        </is>
      </c>
      <c r="K347" t="inlineStr">
        <is>
          <t>Greene, Robert W., 1911-</t>
        </is>
      </c>
      <c r="L347" t="inlineStr">
        <is>
          <t>New York : Putnam, [1953]</t>
        </is>
      </c>
      <c r="M347" t="inlineStr">
        <is>
          <t>1953</t>
        </is>
      </c>
      <c r="O347" t="inlineStr">
        <is>
          <t>eng</t>
        </is>
      </c>
      <c r="P347" t="inlineStr">
        <is>
          <t xml:space="preserve">xx </t>
        </is>
      </c>
      <c r="R347" t="inlineStr">
        <is>
          <t xml:space="preserve">BV </t>
        </is>
      </c>
      <c r="S347" t="n">
        <v>2</v>
      </c>
      <c r="T347" t="n">
        <v>2</v>
      </c>
      <c r="U347" t="inlineStr">
        <is>
          <t>1993-10-01</t>
        </is>
      </c>
      <c r="V347" t="inlineStr">
        <is>
          <t>1993-10-01</t>
        </is>
      </c>
      <c r="W347" t="inlineStr">
        <is>
          <t>1992-02-18</t>
        </is>
      </c>
      <c r="X347" t="inlineStr">
        <is>
          <t>1992-02-18</t>
        </is>
      </c>
      <c r="Y347" t="n">
        <v>325</v>
      </c>
      <c r="Z347" t="n">
        <v>296</v>
      </c>
      <c r="AA347" t="n">
        <v>329</v>
      </c>
      <c r="AB347" t="n">
        <v>4</v>
      </c>
      <c r="AC347" t="n">
        <v>4</v>
      </c>
      <c r="AD347" t="n">
        <v>29</v>
      </c>
      <c r="AE347" t="n">
        <v>31</v>
      </c>
      <c r="AF347" t="n">
        <v>11</v>
      </c>
      <c r="AG347" t="n">
        <v>13</v>
      </c>
      <c r="AH347" t="n">
        <v>7</v>
      </c>
      <c r="AI347" t="n">
        <v>7</v>
      </c>
      <c r="AJ347" t="n">
        <v>20</v>
      </c>
      <c r="AK347" t="n">
        <v>21</v>
      </c>
      <c r="AL347" t="n">
        <v>1</v>
      </c>
      <c r="AM347" t="n">
        <v>1</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HYPERLINK("https://creighton-primo.hosted.exlibrisgroup.com/primo-explore/search?tab=default_tab&amp;search_scope=EVERYTHING&amp;vid=01CRU&amp;lang=en_US&amp;offset=0&amp;query=any,contains,991003547669702656","Catalog Record")</f>
        <v/>
      </c>
      <c r="AT347">
        <f>HYPERLINK("http://www.worldcat.org/oclc/1114782","WorldCat Record")</f>
        <v/>
      </c>
      <c r="AU347" t="inlineStr">
        <is>
          <t>1858260:eng</t>
        </is>
      </c>
      <c r="AV347" t="inlineStr">
        <is>
          <t>1114782</t>
        </is>
      </c>
      <c r="AW347" t="inlineStr">
        <is>
          <t>991003547669702656</t>
        </is>
      </c>
      <c r="AX347" t="inlineStr">
        <is>
          <t>991003547669702656</t>
        </is>
      </c>
      <c r="AY347" t="inlineStr">
        <is>
          <t>2270053150002656</t>
        </is>
      </c>
      <c r="AZ347" t="inlineStr">
        <is>
          <t>BOOK</t>
        </is>
      </c>
      <c r="BC347" t="inlineStr">
        <is>
          <t>32285000928803</t>
        </is>
      </c>
      <c r="BD347" t="inlineStr">
        <is>
          <t>893258550</t>
        </is>
      </c>
    </row>
    <row r="348">
      <c r="A348" t="inlineStr">
        <is>
          <t>No</t>
        </is>
      </c>
      <c r="B348" t="inlineStr">
        <is>
          <t>BV3427.P47 B4 1958</t>
        </is>
      </c>
      <c r="C348" t="inlineStr">
        <is>
          <t>0                      BV 3427000P  47                 B  4           1958</t>
        </is>
      </c>
      <c r="D348" t="inlineStr">
        <is>
          <t>I met a traveller : the triumph of Father Phillips.</t>
        </is>
      </c>
      <c r="F348" t="inlineStr">
        <is>
          <t>No</t>
        </is>
      </c>
      <c r="G348" t="inlineStr">
        <is>
          <t>1</t>
        </is>
      </c>
      <c r="H348" t="inlineStr">
        <is>
          <t>No</t>
        </is>
      </c>
      <c r="I348" t="inlineStr">
        <is>
          <t>No</t>
        </is>
      </c>
      <c r="J348" t="inlineStr">
        <is>
          <t>0</t>
        </is>
      </c>
      <c r="K348" t="inlineStr">
        <is>
          <t>Becker, Kurt, 1915-</t>
        </is>
      </c>
      <c r="L348" t="inlineStr">
        <is>
          <t>New York : Farrar, Straus and Cudahy, 1958.</t>
        </is>
      </c>
      <c r="M348" t="inlineStr">
        <is>
          <t>1958</t>
        </is>
      </c>
      <c r="O348" t="inlineStr">
        <is>
          <t>eng</t>
        </is>
      </c>
      <c r="P348" t="inlineStr">
        <is>
          <t xml:space="preserve">xx </t>
        </is>
      </c>
      <c r="R348" t="inlineStr">
        <is>
          <t xml:space="preserve">BV </t>
        </is>
      </c>
      <c r="S348" t="n">
        <v>2</v>
      </c>
      <c r="T348" t="n">
        <v>2</v>
      </c>
      <c r="U348" t="inlineStr">
        <is>
          <t>1993-03-09</t>
        </is>
      </c>
      <c r="V348" t="inlineStr">
        <is>
          <t>1993-03-09</t>
        </is>
      </c>
      <c r="W348" t="inlineStr">
        <is>
          <t>1992-02-18</t>
        </is>
      </c>
      <c r="X348" t="inlineStr">
        <is>
          <t>1992-02-18</t>
        </is>
      </c>
      <c r="Y348" t="n">
        <v>147</v>
      </c>
      <c r="Z348" t="n">
        <v>130</v>
      </c>
      <c r="AA348" t="n">
        <v>135</v>
      </c>
      <c r="AB348" t="n">
        <v>2</v>
      </c>
      <c r="AC348" t="n">
        <v>2</v>
      </c>
      <c r="AD348" t="n">
        <v>22</v>
      </c>
      <c r="AE348" t="n">
        <v>22</v>
      </c>
      <c r="AF348" t="n">
        <v>7</v>
      </c>
      <c r="AG348" t="n">
        <v>7</v>
      </c>
      <c r="AH348" t="n">
        <v>4</v>
      </c>
      <c r="AI348" t="n">
        <v>4</v>
      </c>
      <c r="AJ348" t="n">
        <v>18</v>
      </c>
      <c r="AK348" t="n">
        <v>18</v>
      </c>
      <c r="AL348" t="n">
        <v>0</v>
      </c>
      <c r="AM348" t="n">
        <v>0</v>
      </c>
      <c r="AN348" t="n">
        <v>0</v>
      </c>
      <c r="AO348" t="n">
        <v>0</v>
      </c>
      <c r="AP348" t="inlineStr">
        <is>
          <t>No</t>
        </is>
      </c>
      <c r="AQ348" t="inlineStr">
        <is>
          <t>Yes</t>
        </is>
      </c>
      <c r="AR348">
        <f>HYPERLINK("http://catalog.hathitrust.org/Record/007372242","HathiTrust Record")</f>
        <v/>
      </c>
      <c r="AS348">
        <f>HYPERLINK("https://creighton-primo.hosted.exlibrisgroup.com/primo-explore/search?tab=default_tab&amp;search_scope=EVERYTHING&amp;vid=01CRU&amp;lang=en_US&amp;offset=0&amp;query=any,contains,991003250259702656","Catalog Record")</f>
        <v/>
      </c>
      <c r="AT348">
        <f>HYPERLINK("http://www.worldcat.org/oclc/775272","WorldCat Record")</f>
        <v/>
      </c>
      <c r="AU348" t="inlineStr">
        <is>
          <t>367065947:eng</t>
        </is>
      </c>
      <c r="AV348" t="inlineStr">
        <is>
          <t>775272</t>
        </is>
      </c>
      <c r="AW348" t="inlineStr">
        <is>
          <t>991003250259702656</t>
        </is>
      </c>
      <c r="AX348" t="inlineStr">
        <is>
          <t>991003250259702656</t>
        </is>
      </c>
      <c r="AY348" t="inlineStr">
        <is>
          <t>2266691730002656</t>
        </is>
      </c>
      <c r="AZ348" t="inlineStr">
        <is>
          <t>BOOK</t>
        </is>
      </c>
      <c r="BC348" t="inlineStr">
        <is>
          <t>32285000928811</t>
        </is>
      </c>
      <c r="BD348" t="inlineStr">
        <is>
          <t>893799522</t>
        </is>
      </c>
    </row>
    <row r="349">
      <c r="A349" t="inlineStr">
        <is>
          <t>No</t>
        </is>
      </c>
      <c r="B349" t="inlineStr">
        <is>
          <t>BV3427.S85 B8</t>
        </is>
      </c>
      <c r="C349" t="inlineStr">
        <is>
          <t>0                      BV 3427000S  85                 B  8</t>
        </is>
      </c>
      <c r="D349" t="inlineStr">
        <is>
          <t>Fighting angel : portrait of a soul / by Pearl S. Buck.</t>
        </is>
      </c>
      <c r="F349" t="inlineStr">
        <is>
          <t>No</t>
        </is>
      </c>
      <c r="G349" t="inlineStr">
        <is>
          <t>1</t>
        </is>
      </c>
      <c r="H349" t="inlineStr">
        <is>
          <t>No</t>
        </is>
      </c>
      <c r="I349" t="inlineStr">
        <is>
          <t>No</t>
        </is>
      </c>
      <c r="J349" t="inlineStr">
        <is>
          <t>0</t>
        </is>
      </c>
      <c r="K349" t="inlineStr">
        <is>
          <t>Buck, Pearl S. (Pearl Sydenstricker), 1892-1973.</t>
        </is>
      </c>
      <c r="L349" t="inlineStr">
        <is>
          <t>New York : Reynal &amp; Hitchcock, 1936.</t>
        </is>
      </c>
      <c r="M349" t="inlineStr">
        <is>
          <t>1936</t>
        </is>
      </c>
      <c r="O349" t="inlineStr">
        <is>
          <t>eng</t>
        </is>
      </c>
      <c r="P349" t="inlineStr">
        <is>
          <t>nyu</t>
        </is>
      </c>
      <c r="R349" t="inlineStr">
        <is>
          <t xml:space="preserve">BV </t>
        </is>
      </c>
      <c r="S349" t="n">
        <v>1</v>
      </c>
      <c r="T349" t="n">
        <v>1</v>
      </c>
      <c r="U349" t="inlineStr">
        <is>
          <t>1994-07-14</t>
        </is>
      </c>
      <c r="V349" t="inlineStr">
        <is>
          <t>1994-07-14</t>
        </is>
      </c>
      <c r="W349" t="inlineStr">
        <is>
          <t>1992-02-18</t>
        </is>
      </c>
      <c r="X349" t="inlineStr">
        <is>
          <t>1992-02-18</t>
        </is>
      </c>
      <c r="Y349" t="n">
        <v>95</v>
      </c>
      <c r="Z349" t="n">
        <v>87</v>
      </c>
      <c r="AA349" t="n">
        <v>1192</v>
      </c>
      <c r="AB349" t="n">
        <v>2</v>
      </c>
      <c r="AC349" t="n">
        <v>12</v>
      </c>
      <c r="AD349" t="n">
        <v>1</v>
      </c>
      <c r="AE349" t="n">
        <v>36</v>
      </c>
      <c r="AF349" t="n">
        <v>0</v>
      </c>
      <c r="AG349" t="n">
        <v>18</v>
      </c>
      <c r="AH349" t="n">
        <v>0</v>
      </c>
      <c r="AI349" t="n">
        <v>6</v>
      </c>
      <c r="AJ349" t="n">
        <v>0</v>
      </c>
      <c r="AK349" t="n">
        <v>14</v>
      </c>
      <c r="AL349" t="n">
        <v>1</v>
      </c>
      <c r="AM349" t="n">
        <v>7</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HYPERLINK("https://creighton-primo.hosted.exlibrisgroup.com/primo-explore/search?tab=default_tab&amp;search_scope=EVERYTHING&amp;vid=01CRU&amp;lang=en_US&amp;offset=0&amp;query=any,contains,991004122549702656","Catalog Record")</f>
        <v/>
      </c>
      <c r="AT349">
        <f>HYPERLINK("http://www.worldcat.org/oclc/2433051","WorldCat Record")</f>
        <v/>
      </c>
      <c r="AU349" t="inlineStr">
        <is>
          <t>4915103315:eng</t>
        </is>
      </c>
      <c r="AV349" t="inlineStr">
        <is>
          <t>2433051</t>
        </is>
      </c>
      <c r="AW349" t="inlineStr">
        <is>
          <t>991004122549702656</t>
        </is>
      </c>
      <c r="AX349" t="inlineStr">
        <is>
          <t>991004122549702656</t>
        </is>
      </c>
      <c r="AY349" t="inlineStr">
        <is>
          <t>2263474310002656</t>
        </is>
      </c>
      <c r="AZ349" t="inlineStr">
        <is>
          <t>BOOK</t>
        </is>
      </c>
      <c r="BC349" t="inlineStr">
        <is>
          <t>32285000928860</t>
        </is>
      </c>
      <c r="BD349" t="inlineStr">
        <is>
          <t>893593293</t>
        </is>
      </c>
    </row>
    <row r="350">
      <c r="A350" t="inlineStr">
        <is>
          <t>No</t>
        </is>
      </c>
      <c r="B350" t="inlineStr">
        <is>
          <t>BV3427.T5 L62 1956</t>
        </is>
      </c>
      <c r="C350" t="inlineStr">
        <is>
          <t>0                      BV 3427000T  5                  L  62          1956</t>
        </is>
      </c>
      <c r="D350" t="inlineStr">
        <is>
          <t>Martyr in Tibet : the heroic life and death of Father Maurice Tornay, St. Bernard missionary to Tibet / Translated from the French by Charles Davenport.</t>
        </is>
      </c>
      <c r="F350" t="inlineStr">
        <is>
          <t>No</t>
        </is>
      </c>
      <c r="G350" t="inlineStr">
        <is>
          <t>1</t>
        </is>
      </c>
      <c r="H350" t="inlineStr">
        <is>
          <t>No</t>
        </is>
      </c>
      <c r="I350" t="inlineStr">
        <is>
          <t>No</t>
        </is>
      </c>
      <c r="J350" t="inlineStr">
        <is>
          <t>0</t>
        </is>
      </c>
      <c r="K350" t="inlineStr">
        <is>
          <t>Loup, Robert.</t>
        </is>
      </c>
      <c r="L350" t="inlineStr">
        <is>
          <t>New York : D. McKay Co., [1956]</t>
        </is>
      </c>
      <c r="M350" t="inlineStr">
        <is>
          <t>1956</t>
        </is>
      </c>
      <c r="O350" t="inlineStr">
        <is>
          <t>eng</t>
        </is>
      </c>
      <c r="P350" t="inlineStr">
        <is>
          <t xml:space="preserve">xx </t>
        </is>
      </c>
      <c r="R350" t="inlineStr">
        <is>
          <t xml:space="preserve">BV </t>
        </is>
      </c>
      <c r="S350" t="n">
        <v>4</v>
      </c>
      <c r="T350" t="n">
        <v>4</v>
      </c>
      <c r="U350" t="inlineStr">
        <is>
          <t>1995-03-18</t>
        </is>
      </c>
      <c r="V350" t="inlineStr">
        <is>
          <t>1995-03-18</t>
        </is>
      </c>
      <c r="W350" t="inlineStr">
        <is>
          <t>1992-02-18</t>
        </is>
      </c>
      <c r="X350" t="inlineStr">
        <is>
          <t>1992-02-18</t>
        </is>
      </c>
      <c r="Y350" t="n">
        <v>175</v>
      </c>
      <c r="Z350" t="n">
        <v>166</v>
      </c>
      <c r="AA350" t="n">
        <v>167</v>
      </c>
      <c r="AB350" t="n">
        <v>2</v>
      </c>
      <c r="AC350" t="n">
        <v>2</v>
      </c>
      <c r="AD350" t="n">
        <v>19</v>
      </c>
      <c r="AE350" t="n">
        <v>19</v>
      </c>
      <c r="AF350" t="n">
        <v>6</v>
      </c>
      <c r="AG350" t="n">
        <v>6</v>
      </c>
      <c r="AH350" t="n">
        <v>4</v>
      </c>
      <c r="AI350" t="n">
        <v>4</v>
      </c>
      <c r="AJ350" t="n">
        <v>14</v>
      </c>
      <c r="AK350" t="n">
        <v>14</v>
      </c>
      <c r="AL350" t="n">
        <v>0</v>
      </c>
      <c r="AM350" t="n">
        <v>0</v>
      </c>
      <c r="AN350" t="n">
        <v>0</v>
      </c>
      <c r="AO350" t="n">
        <v>0</v>
      </c>
      <c r="AP350" t="inlineStr">
        <is>
          <t>No</t>
        </is>
      </c>
      <c r="AQ350" t="inlineStr">
        <is>
          <t>Yes</t>
        </is>
      </c>
      <c r="AR350">
        <f>HYPERLINK("http://catalog.hathitrust.org/Record/001414165","HathiTrust Record")</f>
        <v/>
      </c>
      <c r="AS350">
        <f>HYPERLINK("https://creighton-primo.hosted.exlibrisgroup.com/primo-explore/search?tab=default_tab&amp;search_scope=EVERYTHING&amp;vid=01CRU&amp;lang=en_US&amp;offset=0&amp;query=any,contains,991003783599702656","Catalog Record")</f>
        <v/>
      </c>
      <c r="AT350">
        <f>HYPERLINK("http://www.worldcat.org/oclc/1498806","WorldCat Record")</f>
        <v/>
      </c>
      <c r="AU350" t="inlineStr">
        <is>
          <t>890629395:eng</t>
        </is>
      </c>
      <c r="AV350" t="inlineStr">
        <is>
          <t>1498806</t>
        </is>
      </c>
      <c r="AW350" t="inlineStr">
        <is>
          <t>991003783599702656</t>
        </is>
      </c>
      <c r="AX350" t="inlineStr">
        <is>
          <t>991003783599702656</t>
        </is>
      </c>
      <c r="AY350" t="inlineStr">
        <is>
          <t>2269068770002656</t>
        </is>
      </c>
      <c r="AZ350" t="inlineStr">
        <is>
          <t>BOOK</t>
        </is>
      </c>
      <c r="BC350" t="inlineStr">
        <is>
          <t>32285000928878</t>
        </is>
      </c>
      <c r="BD350" t="inlineStr">
        <is>
          <t>893623899</t>
        </is>
      </c>
    </row>
    <row r="351">
      <c r="A351" t="inlineStr">
        <is>
          <t>No</t>
        </is>
      </c>
      <c r="B351" t="inlineStr">
        <is>
          <t>BV3462.S35 A3 1966</t>
        </is>
      </c>
      <c r="C351" t="inlineStr">
        <is>
          <t>0                      BV 3462000S  35                 A  3           1966</t>
        </is>
      </c>
      <c r="D351" t="inlineStr">
        <is>
          <t>The starved and the silent / Aloysius Schwartz.</t>
        </is>
      </c>
      <c r="F351" t="inlineStr">
        <is>
          <t>No</t>
        </is>
      </c>
      <c r="G351" t="inlineStr">
        <is>
          <t>1</t>
        </is>
      </c>
      <c r="H351" t="inlineStr">
        <is>
          <t>No</t>
        </is>
      </c>
      <c r="I351" t="inlineStr">
        <is>
          <t>No</t>
        </is>
      </c>
      <c r="J351" t="inlineStr">
        <is>
          <t>0</t>
        </is>
      </c>
      <c r="K351" t="inlineStr">
        <is>
          <t>Schwartz, Aloysius.</t>
        </is>
      </c>
      <c r="L351" t="inlineStr">
        <is>
          <t>Garden City, N.Y. : Doubleday, 1966.</t>
        </is>
      </c>
      <c r="M351" t="inlineStr">
        <is>
          <t>1966</t>
        </is>
      </c>
      <c r="O351" t="inlineStr">
        <is>
          <t>eng</t>
        </is>
      </c>
      <c r="P351" t="inlineStr">
        <is>
          <t>___</t>
        </is>
      </c>
      <c r="R351" t="inlineStr">
        <is>
          <t xml:space="preserve">BV </t>
        </is>
      </c>
      <c r="S351" t="n">
        <v>1</v>
      </c>
      <c r="T351" t="n">
        <v>1</v>
      </c>
      <c r="U351" t="inlineStr">
        <is>
          <t>2001-11-24</t>
        </is>
      </c>
      <c r="V351" t="inlineStr">
        <is>
          <t>2001-11-24</t>
        </is>
      </c>
      <c r="W351" t="inlineStr">
        <is>
          <t>1992-02-18</t>
        </is>
      </c>
      <c r="X351" t="inlineStr">
        <is>
          <t>1992-02-18</t>
        </is>
      </c>
      <c r="Y351" t="n">
        <v>250</v>
      </c>
      <c r="Z351" t="n">
        <v>241</v>
      </c>
      <c r="AA351" t="n">
        <v>264</v>
      </c>
      <c r="AB351" t="n">
        <v>3</v>
      </c>
      <c r="AC351" t="n">
        <v>3</v>
      </c>
      <c r="AD351" t="n">
        <v>26</v>
      </c>
      <c r="AE351" t="n">
        <v>27</v>
      </c>
      <c r="AF351" t="n">
        <v>9</v>
      </c>
      <c r="AG351" t="n">
        <v>9</v>
      </c>
      <c r="AH351" t="n">
        <v>6</v>
      </c>
      <c r="AI351" t="n">
        <v>7</v>
      </c>
      <c r="AJ351" t="n">
        <v>19</v>
      </c>
      <c r="AK351" t="n">
        <v>20</v>
      </c>
      <c r="AL351" t="n">
        <v>0</v>
      </c>
      <c r="AM351" t="n">
        <v>0</v>
      </c>
      <c r="AN351" t="n">
        <v>0</v>
      </c>
      <c r="AO351" t="n">
        <v>0</v>
      </c>
      <c r="AP351" t="inlineStr">
        <is>
          <t>No</t>
        </is>
      </c>
      <c r="AQ351" t="inlineStr">
        <is>
          <t>Yes</t>
        </is>
      </c>
      <c r="AR351">
        <f>HYPERLINK("http://catalog.hathitrust.org/Record/006634875","HathiTrust Record")</f>
        <v/>
      </c>
      <c r="AS351">
        <f>HYPERLINK("https://creighton-primo.hosted.exlibrisgroup.com/primo-explore/search?tab=default_tab&amp;search_scope=EVERYTHING&amp;vid=01CRU&amp;lang=en_US&amp;offset=0&amp;query=any,contains,991002733969702656","Catalog Record")</f>
        <v/>
      </c>
      <c r="AT351">
        <f>HYPERLINK("http://www.worldcat.org/oclc/418419","WorldCat Record")</f>
        <v/>
      </c>
      <c r="AU351" t="inlineStr">
        <is>
          <t>4160828140:eng</t>
        </is>
      </c>
      <c r="AV351" t="inlineStr">
        <is>
          <t>418419</t>
        </is>
      </c>
      <c r="AW351" t="inlineStr">
        <is>
          <t>991002733969702656</t>
        </is>
      </c>
      <c r="AX351" t="inlineStr">
        <is>
          <t>991002733969702656</t>
        </is>
      </c>
      <c r="AY351" t="inlineStr">
        <is>
          <t>2261199460002656</t>
        </is>
      </c>
      <c r="AZ351" t="inlineStr">
        <is>
          <t>BOOK</t>
        </is>
      </c>
      <c r="BC351" t="inlineStr">
        <is>
          <t>32285000928951</t>
        </is>
      </c>
      <c r="BD351" t="inlineStr">
        <is>
          <t>893704449</t>
        </is>
      </c>
    </row>
    <row r="352">
      <c r="A352" t="inlineStr">
        <is>
          <t>No</t>
        </is>
      </c>
      <c r="B352" t="inlineStr">
        <is>
          <t>BV35 .C37 1984</t>
        </is>
      </c>
      <c r="C352" t="inlineStr">
        <is>
          <t>0                      BV 0035000C  37          1984</t>
        </is>
      </c>
      <c r="D352" t="inlineStr">
        <is>
          <t>Holy days in the United States : history, theology, celebration / Secretariat, Bishops' Committee on the Liturgy, National Conference of Catholic Bishops.</t>
        </is>
      </c>
      <c r="F352" t="inlineStr">
        <is>
          <t>No</t>
        </is>
      </c>
      <c r="G352" t="inlineStr">
        <is>
          <t>1</t>
        </is>
      </c>
      <c r="H352" t="inlineStr">
        <is>
          <t>No</t>
        </is>
      </c>
      <c r="I352" t="inlineStr">
        <is>
          <t>No</t>
        </is>
      </c>
      <c r="J352" t="inlineStr">
        <is>
          <t>0</t>
        </is>
      </c>
      <c r="K352" t="inlineStr">
        <is>
          <t>Catholic Church. National Conference of Catholic Bishops. Bishops' Committee on the Liturgy. Secretariat.</t>
        </is>
      </c>
      <c r="L352" t="inlineStr">
        <is>
          <t>Washington, D.C. : United States Catholic Conference, c1984.</t>
        </is>
      </c>
      <c r="M352" t="inlineStr">
        <is>
          <t>1984</t>
        </is>
      </c>
      <c r="O352" t="inlineStr">
        <is>
          <t>eng</t>
        </is>
      </c>
      <c r="P352" t="inlineStr">
        <is>
          <t>dcu</t>
        </is>
      </c>
      <c r="R352" t="inlineStr">
        <is>
          <t xml:space="preserve">BV </t>
        </is>
      </c>
      <c r="S352" t="n">
        <v>5</v>
      </c>
      <c r="T352" t="n">
        <v>5</v>
      </c>
      <c r="U352" t="inlineStr">
        <is>
          <t>1999-02-04</t>
        </is>
      </c>
      <c r="V352" t="inlineStr">
        <is>
          <t>1999-02-04</t>
        </is>
      </c>
      <c r="W352" t="inlineStr">
        <is>
          <t>1990-03-28</t>
        </is>
      </c>
      <c r="X352" t="inlineStr">
        <is>
          <t>1990-03-28</t>
        </is>
      </c>
      <c r="Y352" t="n">
        <v>173</v>
      </c>
      <c r="Z352" t="n">
        <v>158</v>
      </c>
      <c r="AA352" t="n">
        <v>158</v>
      </c>
      <c r="AB352" t="n">
        <v>2</v>
      </c>
      <c r="AC352" t="n">
        <v>2</v>
      </c>
      <c r="AD352" t="n">
        <v>23</v>
      </c>
      <c r="AE352" t="n">
        <v>23</v>
      </c>
      <c r="AF352" t="n">
        <v>8</v>
      </c>
      <c r="AG352" t="n">
        <v>8</v>
      </c>
      <c r="AH352" t="n">
        <v>7</v>
      </c>
      <c r="AI352" t="n">
        <v>7</v>
      </c>
      <c r="AJ352" t="n">
        <v>18</v>
      </c>
      <c r="AK352" t="n">
        <v>18</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HYPERLINK("https://creighton-primo.hosted.exlibrisgroup.com/primo-explore/search?tab=default_tab&amp;search_scope=EVERYTHING&amp;vid=01CRU&amp;lang=en_US&amp;offset=0&amp;query=any,contains,991000405179702656","Catalog Record")</f>
        <v/>
      </c>
      <c r="AT352">
        <f>HYPERLINK("http://www.worldcat.org/oclc/11400417","WorldCat Record")</f>
        <v/>
      </c>
      <c r="AU352" t="inlineStr">
        <is>
          <t>3778566:eng</t>
        </is>
      </c>
      <c r="AV352" t="inlineStr">
        <is>
          <t>11400417</t>
        </is>
      </c>
      <c r="AW352" t="inlineStr">
        <is>
          <t>991000405179702656</t>
        </is>
      </c>
      <c r="AX352" t="inlineStr">
        <is>
          <t>991000405179702656</t>
        </is>
      </c>
      <c r="AY352" t="inlineStr">
        <is>
          <t>2272784090002656</t>
        </is>
      </c>
      <c r="AZ352" t="inlineStr">
        <is>
          <t>BOOK</t>
        </is>
      </c>
      <c r="BC352" t="inlineStr">
        <is>
          <t>32285000099126</t>
        </is>
      </c>
      <c r="BD352" t="inlineStr">
        <is>
          <t>893884351</t>
        </is>
      </c>
    </row>
    <row r="353">
      <c r="A353" t="inlineStr">
        <is>
          <t>No</t>
        </is>
      </c>
      <c r="B353" t="inlineStr">
        <is>
          <t>BV3500 .B8313 1979</t>
        </is>
      </c>
      <c r="C353" t="inlineStr">
        <is>
          <t>0                      BV 3500000B  8313        1979</t>
        </is>
      </c>
      <c r="D353" t="inlineStr">
        <is>
          <t>The missions on trial : Addis Ababa, 1980 : a moral for the future from the archives of today / Walbert Bühlmann.</t>
        </is>
      </c>
      <c r="F353" t="inlineStr">
        <is>
          <t>No</t>
        </is>
      </c>
      <c r="G353" t="inlineStr">
        <is>
          <t>1</t>
        </is>
      </c>
      <c r="H353" t="inlineStr">
        <is>
          <t>No</t>
        </is>
      </c>
      <c r="I353" t="inlineStr">
        <is>
          <t>No</t>
        </is>
      </c>
      <c r="J353" t="inlineStr">
        <is>
          <t>0</t>
        </is>
      </c>
      <c r="K353" t="inlineStr">
        <is>
          <t>Bühlmann, Walbert.</t>
        </is>
      </c>
      <c r="L353" t="inlineStr">
        <is>
          <t>Maryknoll, N.Y. : Orbis Books, 1979, c1978.</t>
        </is>
      </c>
      <c r="M353" t="inlineStr">
        <is>
          <t>1979</t>
        </is>
      </c>
      <c r="O353" t="inlineStr">
        <is>
          <t>eng</t>
        </is>
      </c>
      <c r="P353" t="inlineStr">
        <is>
          <t>nyu</t>
        </is>
      </c>
      <c r="R353" t="inlineStr">
        <is>
          <t xml:space="preserve">BV </t>
        </is>
      </c>
      <c r="S353" t="n">
        <v>9</v>
      </c>
      <c r="T353" t="n">
        <v>9</v>
      </c>
      <c r="U353" t="inlineStr">
        <is>
          <t>1999-04-20</t>
        </is>
      </c>
      <c r="V353" t="inlineStr">
        <is>
          <t>1999-04-20</t>
        </is>
      </c>
      <c r="W353" t="inlineStr">
        <is>
          <t>1992-02-18</t>
        </is>
      </c>
      <c r="X353" t="inlineStr">
        <is>
          <t>1992-02-18</t>
        </is>
      </c>
      <c r="Y353" t="n">
        <v>285</v>
      </c>
      <c r="Z353" t="n">
        <v>254</v>
      </c>
      <c r="AA353" t="n">
        <v>280</v>
      </c>
      <c r="AB353" t="n">
        <v>1</v>
      </c>
      <c r="AC353" t="n">
        <v>1</v>
      </c>
      <c r="AD353" t="n">
        <v>22</v>
      </c>
      <c r="AE353" t="n">
        <v>22</v>
      </c>
      <c r="AF353" t="n">
        <v>7</v>
      </c>
      <c r="AG353" t="n">
        <v>7</v>
      </c>
      <c r="AH353" t="n">
        <v>5</v>
      </c>
      <c r="AI353" t="n">
        <v>5</v>
      </c>
      <c r="AJ353" t="n">
        <v>16</v>
      </c>
      <c r="AK353" t="n">
        <v>16</v>
      </c>
      <c r="AL353" t="n">
        <v>0</v>
      </c>
      <c r="AM353" t="n">
        <v>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HYPERLINK("https://creighton-primo.hosted.exlibrisgroup.com/primo-explore/search?tab=default_tab&amp;search_scope=EVERYTHING&amp;vid=01CRU&amp;lang=en_US&amp;offset=0&amp;query=any,contains,991004648329702656","Catalog Record")</f>
        <v/>
      </c>
      <c r="AT353">
        <f>HYPERLINK("http://www.worldcat.org/oclc/4492891","WorldCat Record")</f>
        <v/>
      </c>
      <c r="AU353" t="inlineStr">
        <is>
          <t>13198286:eng</t>
        </is>
      </c>
      <c r="AV353" t="inlineStr">
        <is>
          <t>4492891</t>
        </is>
      </c>
      <c r="AW353" t="inlineStr">
        <is>
          <t>991004648329702656</t>
        </is>
      </c>
      <c r="AX353" t="inlineStr">
        <is>
          <t>991004648329702656</t>
        </is>
      </c>
      <c r="AY353" t="inlineStr">
        <is>
          <t>2263379730002656</t>
        </is>
      </c>
      <c r="AZ353" t="inlineStr">
        <is>
          <t>BOOK</t>
        </is>
      </c>
      <c r="BB353" t="inlineStr">
        <is>
          <t>9780883443163</t>
        </is>
      </c>
      <c r="BC353" t="inlineStr">
        <is>
          <t>32285000928977</t>
        </is>
      </c>
      <c r="BD353" t="inlineStr">
        <is>
          <t>893776256</t>
        </is>
      </c>
    </row>
    <row r="354">
      <c r="A354" t="inlineStr">
        <is>
          <t>No</t>
        </is>
      </c>
      <c r="B354" t="inlineStr">
        <is>
          <t>BV3530 .M37 1963</t>
        </is>
      </c>
      <c r="C354" t="inlineStr">
        <is>
          <t>0                      BV 3530000M  37          1963</t>
        </is>
      </c>
      <c r="D354" t="inlineStr">
        <is>
          <t>African apostles / Elizabeth Mary Matheson.</t>
        </is>
      </c>
      <c r="F354" t="inlineStr">
        <is>
          <t>No</t>
        </is>
      </c>
      <c r="G354" t="inlineStr">
        <is>
          <t>1</t>
        </is>
      </c>
      <c r="H354" t="inlineStr">
        <is>
          <t>No</t>
        </is>
      </c>
      <c r="I354" t="inlineStr">
        <is>
          <t>No</t>
        </is>
      </c>
      <c r="J354" t="inlineStr">
        <is>
          <t>0</t>
        </is>
      </c>
      <c r="K354" t="inlineStr">
        <is>
          <t>Matheson, Elizabeth Mary.</t>
        </is>
      </c>
      <c r="L354" t="inlineStr">
        <is>
          <t>New York : Alba House, [c.1963]</t>
        </is>
      </c>
      <c r="M354" t="inlineStr">
        <is>
          <t>1963</t>
        </is>
      </c>
      <c r="O354" t="inlineStr">
        <is>
          <t>eng</t>
        </is>
      </c>
      <c r="P354" t="inlineStr">
        <is>
          <t xml:space="preserve">xx </t>
        </is>
      </c>
      <c r="R354" t="inlineStr">
        <is>
          <t xml:space="preserve">BV </t>
        </is>
      </c>
      <c r="S354" t="n">
        <v>3</v>
      </c>
      <c r="T354" t="n">
        <v>3</v>
      </c>
      <c r="U354" t="inlineStr">
        <is>
          <t>1997-03-05</t>
        </is>
      </c>
      <c r="V354" t="inlineStr">
        <is>
          <t>1997-03-05</t>
        </is>
      </c>
      <c r="W354" t="inlineStr">
        <is>
          <t>1990-11-01</t>
        </is>
      </c>
      <c r="X354" t="inlineStr">
        <is>
          <t>1990-11-01</t>
        </is>
      </c>
      <c r="Y354" t="n">
        <v>78</v>
      </c>
      <c r="Z354" t="n">
        <v>71</v>
      </c>
      <c r="AA354" t="n">
        <v>76</v>
      </c>
      <c r="AB354" t="n">
        <v>2</v>
      </c>
      <c r="AC354" t="n">
        <v>2</v>
      </c>
      <c r="AD354" t="n">
        <v>4</v>
      </c>
      <c r="AE354" t="n">
        <v>4</v>
      </c>
      <c r="AF354" t="n">
        <v>2</v>
      </c>
      <c r="AG354" t="n">
        <v>2</v>
      </c>
      <c r="AH354" t="n">
        <v>1</v>
      </c>
      <c r="AI354" t="n">
        <v>1</v>
      </c>
      <c r="AJ354" t="n">
        <v>3</v>
      </c>
      <c r="AK354" t="n">
        <v>3</v>
      </c>
      <c r="AL354" t="n">
        <v>0</v>
      </c>
      <c r="AM354" t="n">
        <v>0</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HYPERLINK("https://creighton-primo.hosted.exlibrisgroup.com/primo-explore/search?tab=default_tab&amp;search_scope=EVERYTHING&amp;vid=01CRU&amp;lang=en_US&amp;offset=0&amp;query=any,contains,991003482939702656","Catalog Record")</f>
        <v/>
      </c>
      <c r="AT354">
        <f>HYPERLINK("http://www.worldcat.org/oclc/1030639","WorldCat Record")</f>
        <v/>
      </c>
      <c r="AU354" t="inlineStr">
        <is>
          <t>1973617:eng</t>
        </is>
      </c>
      <c r="AV354" t="inlineStr">
        <is>
          <t>1030639</t>
        </is>
      </c>
      <c r="AW354" t="inlineStr">
        <is>
          <t>991003482939702656</t>
        </is>
      </c>
      <c r="AX354" t="inlineStr">
        <is>
          <t>991003482939702656</t>
        </is>
      </c>
      <c r="AY354" t="inlineStr">
        <is>
          <t>2269517640002656</t>
        </is>
      </c>
      <c r="AZ354" t="inlineStr">
        <is>
          <t>BOOK</t>
        </is>
      </c>
      <c r="BC354" t="inlineStr">
        <is>
          <t>32285000296409</t>
        </is>
      </c>
      <c r="BD354" t="inlineStr">
        <is>
          <t>893793645</t>
        </is>
      </c>
    </row>
    <row r="355">
      <c r="A355" t="inlineStr">
        <is>
          <t>No</t>
        </is>
      </c>
      <c r="B355" t="inlineStr">
        <is>
          <t>BV3555 .L66 2000</t>
        </is>
      </c>
      <c r="C355" t="inlineStr">
        <is>
          <t>0                      BV 3555000L  66          2000</t>
        </is>
      </c>
      <c r="D355" t="inlineStr">
        <is>
          <t>The London Missionary Society in Southern Africa, 1799-1999 : historical essays in celebration of the bicentenary of the LMS in Southern Africa / edited by John de Gruchy.</t>
        </is>
      </c>
      <c r="F355" t="inlineStr">
        <is>
          <t>No</t>
        </is>
      </c>
      <c r="G355" t="inlineStr">
        <is>
          <t>1</t>
        </is>
      </c>
      <c r="H355" t="inlineStr">
        <is>
          <t>No</t>
        </is>
      </c>
      <c r="I355" t="inlineStr">
        <is>
          <t>No</t>
        </is>
      </c>
      <c r="J355" t="inlineStr">
        <is>
          <t>0</t>
        </is>
      </c>
      <c r="L355" t="inlineStr">
        <is>
          <t>Athens, Ohio : Ohio University Press, 2000.</t>
        </is>
      </c>
      <c r="M355" t="inlineStr">
        <is>
          <t>2000</t>
        </is>
      </c>
      <c r="O355" t="inlineStr">
        <is>
          <t>eng</t>
        </is>
      </c>
      <c r="P355" t="inlineStr">
        <is>
          <t>ohu</t>
        </is>
      </c>
      <c r="R355" t="inlineStr">
        <is>
          <t xml:space="preserve">BV </t>
        </is>
      </c>
      <c r="S355" t="n">
        <v>8</v>
      </c>
      <c r="T355" t="n">
        <v>8</v>
      </c>
      <c r="U355" t="inlineStr">
        <is>
          <t>2007-03-27</t>
        </is>
      </c>
      <c r="V355" t="inlineStr">
        <is>
          <t>2007-03-27</t>
        </is>
      </c>
      <c r="W355" t="inlineStr">
        <is>
          <t>2001-04-23</t>
        </is>
      </c>
      <c r="X355" t="inlineStr">
        <is>
          <t>2001-04-23</t>
        </is>
      </c>
      <c r="Y355" t="n">
        <v>187</v>
      </c>
      <c r="Z355" t="n">
        <v>153</v>
      </c>
      <c r="AA355" t="n">
        <v>153</v>
      </c>
      <c r="AB355" t="n">
        <v>2</v>
      </c>
      <c r="AC355" t="n">
        <v>2</v>
      </c>
      <c r="AD355" t="n">
        <v>11</v>
      </c>
      <c r="AE355" t="n">
        <v>11</v>
      </c>
      <c r="AF355" t="n">
        <v>5</v>
      </c>
      <c r="AG355" t="n">
        <v>5</v>
      </c>
      <c r="AH355" t="n">
        <v>2</v>
      </c>
      <c r="AI355" t="n">
        <v>2</v>
      </c>
      <c r="AJ355" t="n">
        <v>5</v>
      </c>
      <c r="AK355" t="n">
        <v>5</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HYPERLINK("https://creighton-primo.hosted.exlibrisgroup.com/primo-explore/search?tab=default_tab&amp;search_scope=EVERYTHING&amp;vid=01CRU&amp;lang=en_US&amp;offset=0&amp;query=any,contains,991003515779702656","Catalog Record")</f>
        <v/>
      </c>
      <c r="AT355">
        <f>HYPERLINK("http://www.worldcat.org/oclc/43798379","WorldCat Record")</f>
        <v/>
      </c>
      <c r="AU355" t="inlineStr">
        <is>
          <t>1808205935:eng</t>
        </is>
      </c>
      <c r="AV355" t="inlineStr">
        <is>
          <t>43798379</t>
        </is>
      </c>
      <c r="AW355" t="inlineStr">
        <is>
          <t>991003515779702656</t>
        </is>
      </c>
      <c r="AX355" t="inlineStr">
        <is>
          <t>991003515779702656</t>
        </is>
      </c>
      <c r="AY355" t="inlineStr">
        <is>
          <t>2259321930002656</t>
        </is>
      </c>
      <c r="AZ355" t="inlineStr">
        <is>
          <t>BOOK</t>
        </is>
      </c>
      <c r="BB355" t="inlineStr">
        <is>
          <t>9780821413494</t>
        </is>
      </c>
      <c r="BC355" t="inlineStr">
        <is>
          <t>32285004314232</t>
        </is>
      </c>
      <c r="BD355" t="inlineStr">
        <is>
          <t>893518552</t>
        </is>
      </c>
    </row>
    <row r="356">
      <c r="A356" t="inlineStr">
        <is>
          <t>No</t>
        </is>
      </c>
      <c r="B356" t="inlineStr">
        <is>
          <t>BV3557.Q8 S86 1954</t>
        </is>
      </c>
      <c r="C356" t="inlineStr">
        <is>
          <t>0                      BV 3557000Q  8                  S  86          1954</t>
        </is>
      </c>
      <c r="D356" t="inlineStr">
        <is>
          <t>A heroine of the Apostolate (1907-1944) : Edel Quinn, envoy of the Legion of Mary to Africa / Pref. by H. E. Archbishop Riberi.</t>
        </is>
      </c>
      <c r="F356" t="inlineStr">
        <is>
          <t>No</t>
        </is>
      </c>
      <c r="G356" t="inlineStr">
        <is>
          <t>1</t>
        </is>
      </c>
      <c r="H356" t="inlineStr">
        <is>
          <t>No</t>
        </is>
      </c>
      <c r="I356" t="inlineStr">
        <is>
          <t>No</t>
        </is>
      </c>
      <c r="J356" t="inlineStr">
        <is>
          <t>0</t>
        </is>
      </c>
      <c r="K356" t="inlineStr">
        <is>
          <t>Suenens, Léon Joseph, 1904-1996.</t>
        </is>
      </c>
      <c r="L356" t="inlineStr">
        <is>
          <t>Dublin : C. J. Fallon, 1954.</t>
        </is>
      </c>
      <c r="M356" t="inlineStr">
        <is>
          <t>1954</t>
        </is>
      </c>
      <c r="O356" t="inlineStr">
        <is>
          <t>eng</t>
        </is>
      </c>
      <c r="P356" t="inlineStr">
        <is>
          <t xml:space="preserve">xx </t>
        </is>
      </c>
      <c r="R356" t="inlineStr">
        <is>
          <t xml:space="preserve">BV </t>
        </is>
      </c>
      <c r="S356" t="n">
        <v>1</v>
      </c>
      <c r="T356" t="n">
        <v>1</v>
      </c>
      <c r="U356" t="inlineStr">
        <is>
          <t>2007-03-13</t>
        </is>
      </c>
      <c r="V356" t="inlineStr">
        <is>
          <t>2007-03-13</t>
        </is>
      </c>
      <c r="W356" t="inlineStr">
        <is>
          <t>1992-02-18</t>
        </is>
      </c>
      <c r="X356" t="inlineStr">
        <is>
          <t>1992-02-18</t>
        </is>
      </c>
      <c r="Y356" t="n">
        <v>36</v>
      </c>
      <c r="Z356" t="n">
        <v>23</v>
      </c>
      <c r="AA356" t="n">
        <v>25</v>
      </c>
      <c r="AB356" t="n">
        <v>1</v>
      </c>
      <c r="AC356" t="n">
        <v>1</v>
      </c>
      <c r="AD356" t="n">
        <v>4</v>
      </c>
      <c r="AE356" t="n">
        <v>4</v>
      </c>
      <c r="AF356" t="n">
        <v>1</v>
      </c>
      <c r="AG356" t="n">
        <v>1</v>
      </c>
      <c r="AH356" t="n">
        <v>1</v>
      </c>
      <c r="AI356" t="n">
        <v>1</v>
      </c>
      <c r="AJ356" t="n">
        <v>3</v>
      </c>
      <c r="AK356" t="n">
        <v>3</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HYPERLINK("https://creighton-primo.hosted.exlibrisgroup.com/primo-explore/search?tab=default_tab&amp;search_scope=EVERYTHING&amp;vid=01CRU&amp;lang=en_US&amp;offset=0&amp;query=any,contains,991003700169702656","Catalog Record")</f>
        <v/>
      </c>
      <c r="AT356">
        <f>HYPERLINK("http://www.worldcat.org/oclc/1335821","WorldCat Record")</f>
        <v/>
      </c>
      <c r="AU356" t="inlineStr">
        <is>
          <t>3943305694:eng</t>
        </is>
      </c>
      <c r="AV356" t="inlineStr">
        <is>
          <t>1335821</t>
        </is>
      </c>
      <c r="AW356" t="inlineStr">
        <is>
          <t>991003700169702656</t>
        </is>
      </c>
      <c r="AX356" t="inlineStr">
        <is>
          <t>991003700169702656</t>
        </is>
      </c>
      <c r="AY356" t="inlineStr">
        <is>
          <t>2259203040002656</t>
        </is>
      </c>
      <c r="AZ356" t="inlineStr">
        <is>
          <t>BOOK</t>
        </is>
      </c>
      <c r="BC356" t="inlineStr">
        <is>
          <t>32285000929025</t>
        </is>
      </c>
      <c r="BD356" t="inlineStr">
        <is>
          <t>893240498</t>
        </is>
      </c>
    </row>
    <row r="357">
      <c r="A357" t="inlineStr">
        <is>
          <t>No</t>
        </is>
      </c>
      <c r="B357" t="inlineStr">
        <is>
          <t>BV3625.G3 S36 1976</t>
        </is>
      </c>
      <c r="C357" t="inlineStr">
        <is>
          <t>0                      BV 3625000G  3                  S  36          1976</t>
        </is>
      </c>
      <c r="D357" t="inlineStr">
        <is>
          <t>On the edge of the primeval forest &amp; More from the primeval forest : experiences and observations of a doctor in equatorial Africa / by Albert Schweitzer.</t>
        </is>
      </c>
      <c r="F357" t="inlineStr">
        <is>
          <t>No</t>
        </is>
      </c>
      <c r="G357" t="inlineStr">
        <is>
          <t>1</t>
        </is>
      </c>
      <c r="H357" t="inlineStr">
        <is>
          <t>No</t>
        </is>
      </c>
      <c r="I357" t="inlineStr">
        <is>
          <t>No</t>
        </is>
      </c>
      <c r="J357" t="inlineStr">
        <is>
          <t>0</t>
        </is>
      </c>
      <c r="K357" t="inlineStr">
        <is>
          <t>Schweitzer, Albert, 1875-1965.</t>
        </is>
      </c>
      <c r="L357" t="inlineStr">
        <is>
          <t>New York : AMS Press, 1976.</t>
        </is>
      </c>
      <c r="M357" t="inlineStr">
        <is>
          <t>1976</t>
        </is>
      </c>
      <c r="O357" t="inlineStr">
        <is>
          <t>eng</t>
        </is>
      </c>
      <c r="P357" t="inlineStr">
        <is>
          <t>nyu</t>
        </is>
      </c>
      <c r="R357" t="inlineStr">
        <is>
          <t xml:space="preserve">BV </t>
        </is>
      </c>
      <c r="S357" t="n">
        <v>7</v>
      </c>
      <c r="T357" t="n">
        <v>7</v>
      </c>
      <c r="U357" t="inlineStr">
        <is>
          <t>2002-12-01</t>
        </is>
      </c>
      <c r="V357" t="inlineStr">
        <is>
          <t>2002-12-01</t>
        </is>
      </c>
      <c r="W357" t="inlineStr">
        <is>
          <t>1992-02-18</t>
        </is>
      </c>
      <c r="X357" t="inlineStr">
        <is>
          <t>1992-02-18</t>
        </is>
      </c>
      <c r="Y357" t="n">
        <v>99</v>
      </c>
      <c r="Z357" t="n">
        <v>92</v>
      </c>
      <c r="AA357" t="n">
        <v>891</v>
      </c>
      <c r="AB357" t="n">
        <v>1</v>
      </c>
      <c r="AC357" t="n">
        <v>5</v>
      </c>
      <c r="AD357" t="n">
        <v>2</v>
      </c>
      <c r="AE357" t="n">
        <v>27</v>
      </c>
      <c r="AF357" t="n">
        <v>1</v>
      </c>
      <c r="AG357" t="n">
        <v>14</v>
      </c>
      <c r="AH357" t="n">
        <v>1</v>
      </c>
      <c r="AI357" t="n">
        <v>5</v>
      </c>
      <c r="AJ357" t="n">
        <v>0</v>
      </c>
      <c r="AK357" t="n">
        <v>10</v>
      </c>
      <c r="AL357" t="n">
        <v>0</v>
      </c>
      <c r="AM357" t="n">
        <v>3</v>
      </c>
      <c r="AN357" t="n">
        <v>0</v>
      </c>
      <c r="AO357" t="n">
        <v>0</v>
      </c>
      <c r="AP357" t="inlineStr">
        <is>
          <t>No</t>
        </is>
      </c>
      <c r="AQ357" t="inlineStr">
        <is>
          <t>Yes</t>
        </is>
      </c>
      <c r="AR357">
        <f>HYPERLINK("http://catalog.hathitrust.org/Record/004508858","HathiTrust Record")</f>
        <v/>
      </c>
      <c r="AS357">
        <f>HYPERLINK("https://creighton-primo.hosted.exlibrisgroup.com/primo-explore/search?tab=default_tab&amp;search_scope=EVERYTHING&amp;vid=01CRU&amp;lang=en_US&amp;offset=0&amp;query=any,contains,991004331819702656","Catalog Record")</f>
        <v/>
      </c>
      <c r="AT357">
        <f>HYPERLINK("http://www.worldcat.org/oclc/3063125","WorldCat Record")</f>
        <v/>
      </c>
      <c r="AU357" t="inlineStr">
        <is>
          <t>5398127393:eng</t>
        </is>
      </c>
      <c r="AV357" t="inlineStr">
        <is>
          <t>3063125</t>
        </is>
      </c>
      <c r="AW357" t="inlineStr">
        <is>
          <t>991004331819702656</t>
        </is>
      </c>
      <c r="AX357" t="inlineStr">
        <is>
          <t>991004331819702656</t>
        </is>
      </c>
      <c r="AY357" t="inlineStr">
        <is>
          <t>2271046460002656</t>
        </is>
      </c>
      <c r="AZ357" t="inlineStr">
        <is>
          <t>BOOK</t>
        </is>
      </c>
      <c r="BB357" t="inlineStr">
        <is>
          <t>9780404145989</t>
        </is>
      </c>
      <c r="BC357" t="inlineStr">
        <is>
          <t>32285000929041</t>
        </is>
      </c>
      <c r="BD357" t="inlineStr">
        <is>
          <t>893519516</t>
        </is>
      </c>
    </row>
    <row r="358">
      <c r="A358" t="inlineStr">
        <is>
          <t>No</t>
        </is>
      </c>
      <c r="B358" t="inlineStr">
        <is>
          <t>BV3625.K4 S77</t>
        </is>
      </c>
      <c r="C358" t="inlineStr">
        <is>
          <t>0                      BV 3625000K  4                  S  77</t>
        </is>
      </c>
      <c r="D358" t="inlineStr">
        <is>
          <t>The making of mission communities in East Africa : Anglicans and Africans in colonial Kenya, 1875-1935 / Robert W. Strayer.</t>
        </is>
      </c>
      <c r="F358" t="inlineStr">
        <is>
          <t>No</t>
        </is>
      </c>
      <c r="G358" t="inlineStr">
        <is>
          <t>1</t>
        </is>
      </c>
      <c r="H358" t="inlineStr">
        <is>
          <t>No</t>
        </is>
      </c>
      <c r="I358" t="inlineStr">
        <is>
          <t>No</t>
        </is>
      </c>
      <c r="J358" t="inlineStr">
        <is>
          <t>0</t>
        </is>
      </c>
      <c r="K358" t="inlineStr">
        <is>
          <t>Strayer, Robert W.</t>
        </is>
      </c>
      <c r="L358" t="inlineStr">
        <is>
          <t>London : Heinemann ; Albany : State University of New York Press, 1978.</t>
        </is>
      </c>
      <c r="M358" t="inlineStr">
        <is>
          <t>1978</t>
        </is>
      </c>
      <c r="O358" t="inlineStr">
        <is>
          <t>eng</t>
        </is>
      </c>
      <c r="P358" t="inlineStr">
        <is>
          <t>enk</t>
        </is>
      </c>
      <c r="R358" t="inlineStr">
        <is>
          <t xml:space="preserve">BV </t>
        </is>
      </c>
      <c r="S358" t="n">
        <v>9</v>
      </c>
      <c r="T358" t="n">
        <v>9</v>
      </c>
      <c r="U358" t="inlineStr">
        <is>
          <t>2007-03-27</t>
        </is>
      </c>
      <c r="V358" t="inlineStr">
        <is>
          <t>2007-03-27</t>
        </is>
      </c>
      <c r="W358" t="inlineStr">
        <is>
          <t>1992-02-18</t>
        </is>
      </c>
      <c r="X358" t="inlineStr">
        <is>
          <t>1992-02-18</t>
        </is>
      </c>
      <c r="Y358" t="n">
        <v>384</v>
      </c>
      <c r="Z358" t="n">
        <v>250</v>
      </c>
      <c r="AA358" t="n">
        <v>255</v>
      </c>
      <c r="AB358" t="n">
        <v>3</v>
      </c>
      <c r="AC358" t="n">
        <v>3</v>
      </c>
      <c r="AD358" t="n">
        <v>9</v>
      </c>
      <c r="AE358" t="n">
        <v>9</v>
      </c>
      <c r="AF358" t="n">
        <v>2</v>
      </c>
      <c r="AG358" t="n">
        <v>2</v>
      </c>
      <c r="AH358" t="n">
        <v>2</v>
      </c>
      <c r="AI358" t="n">
        <v>2</v>
      </c>
      <c r="AJ358" t="n">
        <v>6</v>
      </c>
      <c r="AK358" t="n">
        <v>6</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HYPERLINK("https://creighton-primo.hosted.exlibrisgroup.com/primo-explore/search?tab=default_tab&amp;search_scope=EVERYTHING&amp;vid=01CRU&amp;lang=en_US&amp;offset=0&amp;query=any,contains,991004394449702656","Catalog Record")</f>
        <v/>
      </c>
      <c r="AT358">
        <f>HYPERLINK("http://www.worldcat.org/oclc/3275229","WorldCat Record")</f>
        <v/>
      </c>
      <c r="AU358" t="inlineStr">
        <is>
          <t>9304260:eng</t>
        </is>
      </c>
      <c r="AV358" t="inlineStr">
        <is>
          <t>3275229</t>
        </is>
      </c>
      <c r="AW358" t="inlineStr">
        <is>
          <t>991004394449702656</t>
        </is>
      </c>
      <c r="AX358" t="inlineStr">
        <is>
          <t>991004394449702656</t>
        </is>
      </c>
      <c r="AY358" t="inlineStr">
        <is>
          <t>2255557060002656</t>
        </is>
      </c>
      <c r="AZ358" t="inlineStr">
        <is>
          <t>BOOK</t>
        </is>
      </c>
      <c r="BB358" t="inlineStr">
        <is>
          <t>9780873952453</t>
        </is>
      </c>
      <c r="BC358" t="inlineStr">
        <is>
          <t>32285000929058</t>
        </is>
      </c>
      <c r="BD358" t="inlineStr">
        <is>
          <t>893436239</t>
        </is>
      </c>
    </row>
    <row r="359">
      <c r="A359" t="inlineStr">
        <is>
          <t>No</t>
        </is>
      </c>
      <c r="B359" t="inlineStr">
        <is>
          <t>BV3625.N5 A7 1965</t>
        </is>
      </c>
      <c r="C359" t="inlineStr">
        <is>
          <t>0                      BV 3625000N  5                  A  7           1965</t>
        </is>
      </c>
      <c r="D359" t="inlineStr">
        <is>
          <t>Christian missions in Nigeria, 1841-1891 : the making of a new élite / [by] J.F. Ade Ajayi.</t>
        </is>
      </c>
      <c r="F359" t="inlineStr">
        <is>
          <t>No</t>
        </is>
      </c>
      <c r="G359" t="inlineStr">
        <is>
          <t>1</t>
        </is>
      </c>
      <c r="H359" t="inlineStr">
        <is>
          <t>No</t>
        </is>
      </c>
      <c r="I359" t="inlineStr">
        <is>
          <t>No</t>
        </is>
      </c>
      <c r="J359" t="inlineStr">
        <is>
          <t>0</t>
        </is>
      </c>
      <c r="K359" t="inlineStr">
        <is>
          <t>Ajayi, J. F. Ade.</t>
        </is>
      </c>
      <c r="L359" t="inlineStr">
        <is>
          <t>Evanston [Ill.] Northwestern University Press, 1965.</t>
        </is>
      </c>
      <c r="M359" t="inlineStr">
        <is>
          <t>1965</t>
        </is>
      </c>
      <c r="O359" t="inlineStr">
        <is>
          <t>eng</t>
        </is>
      </c>
      <c r="P359" t="inlineStr">
        <is>
          <t>ilu</t>
        </is>
      </c>
      <c r="Q359" t="inlineStr">
        <is>
          <t>Ibadan history series</t>
        </is>
      </c>
      <c r="R359" t="inlineStr">
        <is>
          <t xml:space="preserve">BV </t>
        </is>
      </c>
      <c r="S359" t="n">
        <v>8</v>
      </c>
      <c r="T359" t="n">
        <v>8</v>
      </c>
      <c r="U359" t="inlineStr">
        <is>
          <t>2005-04-19</t>
        </is>
      </c>
      <c r="V359" t="inlineStr">
        <is>
          <t>2005-04-19</t>
        </is>
      </c>
      <c r="W359" t="inlineStr">
        <is>
          <t>1992-02-18</t>
        </is>
      </c>
      <c r="X359" t="inlineStr">
        <is>
          <t>1992-02-18</t>
        </is>
      </c>
      <c r="Y359" t="n">
        <v>582</v>
      </c>
      <c r="Z359" t="n">
        <v>532</v>
      </c>
      <c r="AA359" t="n">
        <v>774</v>
      </c>
      <c r="AB359" t="n">
        <v>3</v>
      </c>
      <c r="AC359" t="n">
        <v>4</v>
      </c>
      <c r="AD359" t="n">
        <v>24</v>
      </c>
      <c r="AE359" t="n">
        <v>35</v>
      </c>
      <c r="AF359" t="n">
        <v>9</v>
      </c>
      <c r="AG359" t="n">
        <v>13</v>
      </c>
      <c r="AH359" t="n">
        <v>6</v>
      </c>
      <c r="AI359" t="n">
        <v>10</v>
      </c>
      <c r="AJ359" t="n">
        <v>11</v>
      </c>
      <c r="AK359" t="n">
        <v>17</v>
      </c>
      <c r="AL359" t="n">
        <v>2</v>
      </c>
      <c r="AM359" t="n">
        <v>3</v>
      </c>
      <c r="AN359" t="n">
        <v>0</v>
      </c>
      <c r="AO359" t="n">
        <v>0</v>
      </c>
      <c r="AP359" t="inlineStr">
        <is>
          <t>No</t>
        </is>
      </c>
      <c r="AQ359" t="inlineStr">
        <is>
          <t>Yes</t>
        </is>
      </c>
      <c r="AR359">
        <f>HYPERLINK("http://catalog.hathitrust.org/Record/001400933","HathiTrust Record")</f>
        <v/>
      </c>
      <c r="AS359">
        <f>HYPERLINK("https://creighton-primo.hosted.exlibrisgroup.com/primo-explore/search?tab=default_tab&amp;search_scope=EVERYTHING&amp;vid=01CRU&amp;lang=en_US&amp;offset=0&amp;query=any,contains,991002671139702656","Catalog Record")</f>
        <v/>
      </c>
      <c r="AT359">
        <f>HYPERLINK("http://www.worldcat.org/oclc/395168","WorldCat Record")</f>
        <v/>
      </c>
      <c r="AU359" t="inlineStr">
        <is>
          <t>1412997:eng</t>
        </is>
      </c>
      <c r="AV359" t="inlineStr">
        <is>
          <t>395168</t>
        </is>
      </c>
      <c r="AW359" t="inlineStr">
        <is>
          <t>991002671139702656</t>
        </is>
      </c>
      <c r="AX359" t="inlineStr">
        <is>
          <t>991002671139702656</t>
        </is>
      </c>
      <c r="AY359" t="inlineStr">
        <is>
          <t>2260668900002656</t>
        </is>
      </c>
      <c r="AZ359" t="inlineStr">
        <is>
          <t>BOOK</t>
        </is>
      </c>
      <c r="BC359" t="inlineStr">
        <is>
          <t>32285000929066</t>
        </is>
      </c>
      <c r="BD359" t="inlineStr">
        <is>
          <t>893691863</t>
        </is>
      </c>
    </row>
    <row r="360">
      <c r="A360" t="inlineStr">
        <is>
          <t>No</t>
        </is>
      </c>
      <c r="B360" t="inlineStr">
        <is>
          <t>BV3625.N8 M88 1999</t>
        </is>
      </c>
      <c r="C360" t="inlineStr">
        <is>
          <t>0                      BV 3625000N  8                  M  88          1999</t>
        </is>
      </c>
      <c r="D360" t="inlineStr">
        <is>
          <t>The Catholic missionaries within and beyond the politics of exclusivity in colonial Malawi, 1901-1945 / Stanslaus C. Muyebe.</t>
        </is>
      </c>
      <c r="F360" t="inlineStr">
        <is>
          <t>No</t>
        </is>
      </c>
      <c r="G360" t="inlineStr">
        <is>
          <t>1</t>
        </is>
      </c>
      <c r="H360" t="inlineStr">
        <is>
          <t>No</t>
        </is>
      </c>
      <c r="I360" t="inlineStr">
        <is>
          <t>No</t>
        </is>
      </c>
      <c r="J360" t="inlineStr">
        <is>
          <t>0</t>
        </is>
      </c>
      <c r="K360" t="inlineStr">
        <is>
          <t>Muyebe, Stanslaus C.</t>
        </is>
      </c>
      <c r="L360" t="inlineStr">
        <is>
          <t>Lewiston, NY : Edwin Mellen Press, c1999.</t>
        </is>
      </c>
      <c r="M360" t="inlineStr">
        <is>
          <t>1999</t>
        </is>
      </c>
      <c r="O360" t="inlineStr">
        <is>
          <t>eng</t>
        </is>
      </c>
      <c r="P360" t="inlineStr">
        <is>
          <t>nyu</t>
        </is>
      </c>
      <c r="Q360" t="inlineStr">
        <is>
          <t>Studies in the history of missions ; v. 18</t>
        </is>
      </c>
      <c r="R360" t="inlineStr">
        <is>
          <t xml:space="preserve">BV </t>
        </is>
      </c>
      <c r="S360" t="n">
        <v>5</v>
      </c>
      <c r="T360" t="n">
        <v>5</v>
      </c>
      <c r="U360" t="inlineStr">
        <is>
          <t>2000-10-05</t>
        </is>
      </c>
      <c r="V360" t="inlineStr">
        <is>
          <t>2000-10-05</t>
        </is>
      </c>
      <c r="W360" t="inlineStr">
        <is>
          <t>2000-10-05</t>
        </is>
      </c>
      <c r="X360" t="inlineStr">
        <is>
          <t>2000-10-05</t>
        </is>
      </c>
      <c r="Y360" t="n">
        <v>77</v>
      </c>
      <c r="Z360" t="n">
        <v>64</v>
      </c>
      <c r="AA360" t="n">
        <v>66</v>
      </c>
      <c r="AB360" t="n">
        <v>2</v>
      </c>
      <c r="AC360" t="n">
        <v>2</v>
      </c>
      <c r="AD360" t="n">
        <v>5</v>
      </c>
      <c r="AE360" t="n">
        <v>5</v>
      </c>
      <c r="AF360" t="n">
        <v>0</v>
      </c>
      <c r="AG360" t="n">
        <v>0</v>
      </c>
      <c r="AH360" t="n">
        <v>2</v>
      </c>
      <c r="AI360" t="n">
        <v>2</v>
      </c>
      <c r="AJ360" t="n">
        <v>3</v>
      </c>
      <c r="AK360" t="n">
        <v>3</v>
      </c>
      <c r="AL360" t="n">
        <v>1</v>
      </c>
      <c r="AM360" t="n">
        <v>1</v>
      </c>
      <c r="AN360" t="n">
        <v>0</v>
      </c>
      <c r="AO360" t="n">
        <v>0</v>
      </c>
      <c r="AP360" t="inlineStr">
        <is>
          <t>No</t>
        </is>
      </c>
      <c r="AQ360" t="inlineStr">
        <is>
          <t>Yes</t>
        </is>
      </c>
      <c r="AR360">
        <f>HYPERLINK("http://catalog.hathitrust.org/Record/004069438","HathiTrust Record")</f>
        <v/>
      </c>
      <c r="AS360">
        <f>HYPERLINK("https://creighton-primo.hosted.exlibrisgroup.com/primo-explore/search?tab=default_tab&amp;search_scope=EVERYTHING&amp;vid=01CRU&amp;lang=en_US&amp;offset=0&amp;query=any,contains,991003306829702656","Catalog Record")</f>
        <v/>
      </c>
      <c r="AT360">
        <f>HYPERLINK("http://www.worldcat.org/oclc/41404341","WorldCat Record")</f>
        <v/>
      </c>
      <c r="AU360" t="inlineStr">
        <is>
          <t>26496091:eng</t>
        </is>
      </c>
      <c r="AV360" t="inlineStr">
        <is>
          <t>41404341</t>
        </is>
      </c>
      <c r="AW360" t="inlineStr">
        <is>
          <t>991003306829702656</t>
        </is>
      </c>
      <c r="AX360" t="inlineStr">
        <is>
          <t>991003306829702656</t>
        </is>
      </c>
      <c r="AY360" t="inlineStr">
        <is>
          <t>2270011630002656</t>
        </is>
      </c>
      <c r="AZ360" t="inlineStr">
        <is>
          <t>BOOK</t>
        </is>
      </c>
      <c r="BB360" t="inlineStr">
        <is>
          <t>9780773479852</t>
        </is>
      </c>
      <c r="BC360" t="inlineStr">
        <is>
          <t>32285003767018</t>
        </is>
      </c>
      <c r="BD360" t="inlineStr">
        <is>
          <t>893617212</t>
        </is>
      </c>
    </row>
    <row r="361">
      <c r="A361" t="inlineStr">
        <is>
          <t>No</t>
        </is>
      </c>
      <c r="B361" t="inlineStr">
        <is>
          <t>BV3680.H3 Y95 1927</t>
        </is>
      </c>
      <c r="C361" t="inlineStr">
        <is>
          <t>0                      BV 3680000H  3                  Y  95          1927</t>
        </is>
      </c>
      <c r="D361" t="inlineStr">
        <is>
          <t>History of the Catholic Mission in the Hawaiian Islands / by Father Reginald Yzendoorn.</t>
        </is>
      </c>
      <c r="F361" t="inlineStr">
        <is>
          <t>No</t>
        </is>
      </c>
      <c r="G361" t="inlineStr">
        <is>
          <t>1</t>
        </is>
      </c>
      <c r="H361" t="inlineStr">
        <is>
          <t>No</t>
        </is>
      </c>
      <c r="I361" t="inlineStr">
        <is>
          <t>No</t>
        </is>
      </c>
      <c r="J361" t="inlineStr">
        <is>
          <t>0</t>
        </is>
      </c>
      <c r="K361" t="inlineStr">
        <is>
          <t>Yzendoorn, Reginald, 1872-</t>
        </is>
      </c>
      <c r="L361" t="inlineStr">
        <is>
          <t>Honolulu, T. H. : Honolulu Star-Bulletin, 1927.</t>
        </is>
      </c>
      <c r="M361" t="inlineStr">
        <is>
          <t>1927</t>
        </is>
      </c>
      <c r="O361" t="inlineStr">
        <is>
          <t>eng</t>
        </is>
      </c>
      <c r="P361" t="inlineStr">
        <is>
          <t xml:space="preserve">xx </t>
        </is>
      </c>
      <c r="R361" t="inlineStr">
        <is>
          <t xml:space="preserve">BV </t>
        </is>
      </c>
      <c r="S361" t="n">
        <v>6</v>
      </c>
      <c r="T361" t="n">
        <v>6</v>
      </c>
      <c r="U361" t="inlineStr">
        <is>
          <t>2005-06-01</t>
        </is>
      </c>
      <c r="V361" t="inlineStr">
        <is>
          <t>2005-06-01</t>
        </is>
      </c>
      <c r="W361" t="inlineStr">
        <is>
          <t>1992-02-18</t>
        </is>
      </c>
      <c r="X361" t="inlineStr">
        <is>
          <t>1992-02-18</t>
        </is>
      </c>
      <c r="Y361" t="n">
        <v>136</v>
      </c>
      <c r="Z361" t="n">
        <v>116</v>
      </c>
      <c r="AA361" t="n">
        <v>128</v>
      </c>
      <c r="AB361" t="n">
        <v>1</v>
      </c>
      <c r="AC361" t="n">
        <v>2</v>
      </c>
      <c r="AD361" t="n">
        <v>11</v>
      </c>
      <c r="AE361" t="n">
        <v>12</v>
      </c>
      <c r="AF361" t="n">
        <v>2</v>
      </c>
      <c r="AG361" t="n">
        <v>2</v>
      </c>
      <c r="AH361" t="n">
        <v>4</v>
      </c>
      <c r="AI361" t="n">
        <v>4</v>
      </c>
      <c r="AJ361" t="n">
        <v>9</v>
      </c>
      <c r="AK361" t="n">
        <v>9</v>
      </c>
      <c r="AL361" t="n">
        <v>0</v>
      </c>
      <c r="AM361" t="n">
        <v>1</v>
      </c>
      <c r="AN361" t="n">
        <v>0</v>
      </c>
      <c r="AO361" t="n">
        <v>0</v>
      </c>
      <c r="AP361" t="inlineStr">
        <is>
          <t>Yes</t>
        </is>
      </c>
      <c r="AQ361" t="inlineStr">
        <is>
          <t>No</t>
        </is>
      </c>
      <c r="AR361">
        <f>HYPERLINK("http://catalog.hathitrust.org/Record/001936183","HathiTrust Record")</f>
        <v/>
      </c>
      <c r="AS361">
        <f>HYPERLINK("https://creighton-primo.hosted.exlibrisgroup.com/primo-explore/search?tab=default_tab&amp;search_scope=EVERYTHING&amp;vid=01CRU&amp;lang=en_US&amp;offset=0&amp;query=any,contains,991004843059702656","Catalog Record")</f>
        <v/>
      </c>
      <c r="AT361">
        <f>HYPERLINK("http://www.worldcat.org/oclc/5524024","WorldCat Record")</f>
        <v/>
      </c>
      <c r="AU361" t="inlineStr">
        <is>
          <t>18737963:eng</t>
        </is>
      </c>
      <c r="AV361" t="inlineStr">
        <is>
          <t>5524024</t>
        </is>
      </c>
      <c r="AW361" t="inlineStr">
        <is>
          <t>991004843059702656</t>
        </is>
      </c>
      <c r="AX361" t="inlineStr">
        <is>
          <t>991004843059702656</t>
        </is>
      </c>
      <c r="AY361" t="inlineStr">
        <is>
          <t>2269596990002656</t>
        </is>
      </c>
      <c r="AZ361" t="inlineStr">
        <is>
          <t>BOOK</t>
        </is>
      </c>
      <c r="BC361" t="inlineStr">
        <is>
          <t>32285000929116</t>
        </is>
      </c>
      <c r="BD361" t="inlineStr">
        <is>
          <t>893876637</t>
        </is>
      </c>
    </row>
    <row r="362">
      <c r="A362" t="inlineStr">
        <is>
          <t>No</t>
        </is>
      </c>
      <c r="B362" t="inlineStr">
        <is>
          <t>BV3680.H4 K6 1935</t>
        </is>
      </c>
      <c r="C362" t="inlineStr">
        <is>
          <t>0                      BV 3680000H  4                  K  6           1935</t>
        </is>
      </c>
      <c r="D362" t="inlineStr">
        <is>
          <t>Mother Marianne of Molokai / by L. V. Jacks.</t>
        </is>
      </c>
      <c r="F362" t="inlineStr">
        <is>
          <t>No</t>
        </is>
      </c>
      <c r="G362" t="inlineStr">
        <is>
          <t>1</t>
        </is>
      </c>
      <c r="H362" t="inlineStr">
        <is>
          <t>No</t>
        </is>
      </c>
      <c r="I362" t="inlineStr">
        <is>
          <t>No</t>
        </is>
      </c>
      <c r="J362" t="inlineStr">
        <is>
          <t>0</t>
        </is>
      </c>
      <c r="K362" t="inlineStr">
        <is>
          <t>Jacks, L. V. (Leo Vincent), 1896-</t>
        </is>
      </c>
      <c r="L362" t="inlineStr">
        <is>
          <t>New York : The Macmillan company, 1935.</t>
        </is>
      </c>
      <c r="M362" t="inlineStr">
        <is>
          <t>1935</t>
        </is>
      </c>
      <c r="O362" t="inlineStr">
        <is>
          <t>eng</t>
        </is>
      </c>
      <c r="P362" t="inlineStr">
        <is>
          <t xml:space="preserve">xx </t>
        </is>
      </c>
      <c r="R362" t="inlineStr">
        <is>
          <t xml:space="preserve">BV </t>
        </is>
      </c>
      <c r="S362" t="n">
        <v>3</v>
      </c>
      <c r="T362" t="n">
        <v>3</v>
      </c>
      <c r="U362" t="inlineStr">
        <is>
          <t>1996-11-03</t>
        </is>
      </c>
      <c r="V362" t="inlineStr">
        <is>
          <t>1996-11-03</t>
        </is>
      </c>
      <c r="W362" t="inlineStr">
        <is>
          <t>1992-02-18</t>
        </is>
      </c>
      <c r="X362" t="inlineStr">
        <is>
          <t>1992-02-18</t>
        </is>
      </c>
      <c r="Y362" t="n">
        <v>148</v>
      </c>
      <c r="Z362" t="n">
        <v>133</v>
      </c>
      <c r="AA362" t="n">
        <v>135</v>
      </c>
      <c r="AB362" t="n">
        <v>1</v>
      </c>
      <c r="AC362" t="n">
        <v>1</v>
      </c>
      <c r="AD362" t="n">
        <v>12</v>
      </c>
      <c r="AE362" t="n">
        <v>12</v>
      </c>
      <c r="AF362" t="n">
        <v>3</v>
      </c>
      <c r="AG362" t="n">
        <v>3</v>
      </c>
      <c r="AH362" t="n">
        <v>1</v>
      </c>
      <c r="AI362" t="n">
        <v>1</v>
      </c>
      <c r="AJ362" t="n">
        <v>10</v>
      </c>
      <c r="AK362" t="n">
        <v>10</v>
      </c>
      <c r="AL362" t="n">
        <v>0</v>
      </c>
      <c r="AM362" t="n">
        <v>0</v>
      </c>
      <c r="AN362" t="n">
        <v>0</v>
      </c>
      <c r="AO362" t="n">
        <v>0</v>
      </c>
      <c r="AP362" t="inlineStr">
        <is>
          <t>No</t>
        </is>
      </c>
      <c r="AQ362" t="inlineStr">
        <is>
          <t>Yes</t>
        </is>
      </c>
      <c r="AR362">
        <f>HYPERLINK("http://catalog.hathitrust.org/Record/001576038","HathiTrust Record")</f>
        <v/>
      </c>
      <c r="AS362">
        <f>HYPERLINK("https://creighton-primo.hosted.exlibrisgroup.com/primo-explore/search?tab=default_tab&amp;search_scope=EVERYTHING&amp;vid=01CRU&amp;lang=en_US&amp;offset=0&amp;query=any,contains,991004609499702656","Catalog Record")</f>
        <v/>
      </c>
      <c r="AT362">
        <f>HYPERLINK("http://www.worldcat.org/oclc/4208892","WorldCat Record")</f>
        <v/>
      </c>
      <c r="AU362" t="inlineStr">
        <is>
          <t>14504049:eng</t>
        </is>
      </c>
      <c r="AV362" t="inlineStr">
        <is>
          <t>4208892</t>
        </is>
      </c>
      <c r="AW362" t="inlineStr">
        <is>
          <t>991004609499702656</t>
        </is>
      </c>
      <c r="AX362" t="inlineStr">
        <is>
          <t>991004609499702656</t>
        </is>
      </c>
      <c r="AY362" t="inlineStr">
        <is>
          <t>2265251060002656</t>
        </is>
      </c>
      <c r="AZ362" t="inlineStr">
        <is>
          <t>BOOK</t>
        </is>
      </c>
      <c r="BC362" t="inlineStr">
        <is>
          <t>32285000929124</t>
        </is>
      </c>
      <c r="BD362" t="inlineStr">
        <is>
          <t>893876312</t>
        </is>
      </c>
    </row>
    <row r="363">
      <c r="A363" t="inlineStr">
        <is>
          <t>No</t>
        </is>
      </c>
      <c r="B363" t="inlineStr">
        <is>
          <t>BV3680.L52 F4 1952</t>
        </is>
      </c>
      <c r="C363" t="inlineStr">
        <is>
          <t>0                      BV 3680000L  52                 F  4           1952</t>
        </is>
      </c>
      <c r="D363" t="inlineStr">
        <is>
          <t>Letters from Likiep.</t>
        </is>
      </c>
      <c r="F363" t="inlineStr">
        <is>
          <t>No</t>
        </is>
      </c>
      <c r="G363" t="inlineStr">
        <is>
          <t>1</t>
        </is>
      </c>
      <c r="H363" t="inlineStr">
        <is>
          <t>No</t>
        </is>
      </c>
      <c r="I363" t="inlineStr">
        <is>
          <t>No</t>
        </is>
      </c>
      <c r="J363" t="inlineStr">
        <is>
          <t>0</t>
        </is>
      </c>
      <c r="K363" t="inlineStr">
        <is>
          <t>Feeney, Thomas J. (Thomas John), 1894-1955.</t>
        </is>
      </c>
      <c r="L363" t="inlineStr">
        <is>
          <t>[N. Y. : Pandick Pr., c.1952]</t>
        </is>
      </c>
      <c r="M363" t="inlineStr">
        <is>
          <t>1952</t>
        </is>
      </c>
      <c r="O363" t="inlineStr">
        <is>
          <t>eng</t>
        </is>
      </c>
      <c r="P363" t="inlineStr">
        <is>
          <t xml:space="preserve">xx </t>
        </is>
      </c>
      <c r="R363" t="inlineStr">
        <is>
          <t xml:space="preserve">BV </t>
        </is>
      </c>
      <c r="S363" t="n">
        <v>2</v>
      </c>
      <c r="T363" t="n">
        <v>2</v>
      </c>
      <c r="U363" t="inlineStr">
        <is>
          <t>1996-01-24</t>
        </is>
      </c>
      <c r="V363" t="inlineStr">
        <is>
          <t>1996-01-24</t>
        </is>
      </c>
      <c r="W363" t="inlineStr">
        <is>
          <t>1996-01-22</t>
        </is>
      </c>
      <c r="X363" t="inlineStr">
        <is>
          <t>1996-01-22</t>
        </is>
      </c>
      <c r="Y363" t="n">
        <v>62</v>
      </c>
      <c r="Z363" t="n">
        <v>60</v>
      </c>
      <c r="AA363" t="n">
        <v>60</v>
      </c>
      <c r="AB363" t="n">
        <v>1</v>
      </c>
      <c r="AC363" t="n">
        <v>1</v>
      </c>
      <c r="AD363" t="n">
        <v>13</v>
      </c>
      <c r="AE363" t="n">
        <v>13</v>
      </c>
      <c r="AF363" t="n">
        <v>1</v>
      </c>
      <c r="AG363" t="n">
        <v>1</v>
      </c>
      <c r="AH363" t="n">
        <v>3</v>
      </c>
      <c r="AI363" t="n">
        <v>3</v>
      </c>
      <c r="AJ363" t="n">
        <v>11</v>
      </c>
      <c r="AK363" t="n">
        <v>11</v>
      </c>
      <c r="AL363" t="n">
        <v>0</v>
      </c>
      <c r="AM363" t="n">
        <v>0</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HYPERLINK("https://creighton-primo.hosted.exlibrisgroup.com/primo-explore/search?tab=default_tab&amp;search_scope=EVERYTHING&amp;vid=01CRU&amp;lang=en_US&amp;offset=0&amp;query=any,contains,991003482609702656","Catalog Record")</f>
        <v/>
      </c>
      <c r="AT363">
        <f>HYPERLINK("http://www.worldcat.org/oclc/1030198","WorldCat Record")</f>
        <v/>
      </c>
      <c r="AU363" t="inlineStr">
        <is>
          <t>8907059441:eng</t>
        </is>
      </c>
      <c r="AV363" t="inlineStr">
        <is>
          <t>1030198</t>
        </is>
      </c>
      <c r="AW363" t="inlineStr">
        <is>
          <t>991003482609702656</t>
        </is>
      </c>
      <c r="AX363" t="inlineStr">
        <is>
          <t>991003482609702656</t>
        </is>
      </c>
      <c r="AY363" t="inlineStr">
        <is>
          <t>2269276510002656</t>
        </is>
      </c>
      <c r="AZ363" t="inlineStr">
        <is>
          <t>BOOK</t>
        </is>
      </c>
      <c r="BC363" t="inlineStr">
        <is>
          <t>32285000929132</t>
        </is>
      </c>
      <c r="BD363" t="inlineStr">
        <is>
          <t>893604838</t>
        </is>
      </c>
    </row>
    <row r="364">
      <c r="A364" t="inlineStr">
        <is>
          <t>No</t>
        </is>
      </c>
      <c r="B364" t="inlineStr">
        <is>
          <t>BV3703 .D7</t>
        </is>
      </c>
      <c r="C364" t="inlineStr">
        <is>
          <t>0                      BV 3703000D  7</t>
        </is>
      </c>
      <c r="D364" t="inlineStr">
        <is>
          <t>First white women over the Rockies : diaries, letters, and biographical sketches of the six women of the Oregon Mission who made the overland journey in 1836 and 1838 / with introd. and editorial notes by Clifford Merrill Drury.</t>
        </is>
      </c>
      <c r="E364" t="inlineStr">
        <is>
          <t>V. 1</t>
        </is>
      </c>
      <c r="F364" t="inlineStr">
        <is>
          <t>Yes</t>
        </is>
      </c>
      <c r="G364" t="inlineStr">
        <is>
          <t>1</t>
        </is>
      </c>
      <c r="H364" t="inlineStr">
        <is>
          <t>No</t>
        </is>
      </c>
      <c r="I364" t="inlineStr">
        <is>
          <t>No</t>
        </is>
      </c>
      <c r="J364" t="inlineStr">
        <is>
          <t>0</t>
        </is>
      </c>
      <c r="K364" t="inlineStr">
        <is>
          <t>Drury, Clifford Merrill, 1897-1984, editor.</t>
        </is>
      </c>
      <c r="L364" t="inlineStr">
        <is>
          <t>Glendale, Calif., A. H. Clark Co., 1963-1966.</t>
        </is>
      </c>
      <c r="M364" t="inlineStr">
        <is>
          <t>1963</t>
        </is>
      </c>
      <c r="O364" t="inlineStr">
        <is>
          <t>eng</t>
        </is>
      </c>
      <c r="P364" t="inlineStr">
        <is>
          <t>cau</t>
        </is>
      </c>
      <c r="Q364" t="inlineStr">
        <is>
          <t>Northwest historical series ; 6-8</t>
        </is>
      </c>
      <c r="R364" t="inlineStr">
        <is>
          <t xml:space="preserve">BV </t>
        </is>
      </c>
      <c r="S364" t="n">
        <v>2</v>
      </c>
      <c r="T364" t="n">
        <v>4</v>
      </c>
      <c r="U364" t="inlineStr">
        <is>
          <t>1993-03-05</t>
        </is>
      </c>
      <c r="V364" t="inlineStr">
        <is>
          <t>1993-03-05</t>
        </is>
      </c>
      <c r="W364" t="inlineStr">
        <is>
          <t>1992-02-18</t>
        </is>
      </c>
      <c r="X364" t="inlineStr">
        <is>
          <t>1992-02-18</t>
        </is>
      </c>
      <c r="Y364" t="n">
        <v>580</v>
      </c>
      <c r="Z364" t="n">
        <v>559</v>
      </c>
      <c r="AA364" t="n">
        <v>628</v>
      </c>
      <c r="AB364" t="n">
        <v>7</v>
      </c>
      <c r="AC364" t="n">
        <v>7</v>
      </c>
      <c r="AD364" t="n">
        <v>17</v>
      </c>
      <c r="AE364" t="n">
        <v>20</v>
      </c>
      <c r="AF364" t="n">
        <v>4</v>
      </c>
      <c r="AG364" t="n">
        <v>6</v>
      </c>
      <c r="AH364" t="n">
        <v>2</v>
      </c>
      <c r="AI364" t="n">
        <v>4</v>
      </c>
      <c r="AJ364" t="n">
        <v>8</v>
      </c>
      <c r="AK364" t="n">
        <v>8</v>
      </c>
      <c r="AL364" t="n">
        <v>5</v>
      </c>
      <c r="AM364" t="n">
        <v>5</v>
      </c>
      <c r="AN364" t="n">
        <v>0</v>
      </c>
      <c r="AO364" t="n">
        <v>0</v>
      </c>
      <c r="AP364" t="inlineStr">
        <is>
          <t>Yes</t>
        </is>
      </c>
      <c r="AQ364" t="inlineStr">
        <is>
          <t>Yes</t>
        </is>
      </c>
      <c r="AR364">
        <f>HYPERLINK("http://catalog.hathitrust.org/Record/000277910","HathiTrust Record")</f>
        <v/>
      </c>
      <c r="AS364">
        <f>HYPERLINK("https://creighton-primo.hosted.exlibrisgroup.com/primo-explore/search?tab=default_tab&amp;search_scope=EVERYTHING&amp;vid=01CRU&amp;lang=en_US&amp;offset=0&amp;query=any,contains,991003368679702656","Catalog Record")</f>
        <v/>
      </c>
      <c r="AT364">
        <f>HYPERLINK("http://www.worldcat.org/oclc/904461","WorldCat Record")</f>
        <v/>
      </c>
      <c r="AU364" t="inlineStr">
        <is>
          <t>1840191:eng</t>
        </is>
      </c>
      <c r="AV364" t="inlineStr">
        <is>
          <t>904461</t>
        </is>
      </c>
      <c r="AW364" t="inlineStr">
        <is>
          <t>991003368679702656</t>
        </is>
      </c>
      <c r="AX364" t="inlineStr">
        <is>
          <t>991003368679702656</t>
        </is>
      </c>
      <c r="AY364" t="inlineStr">
        <is>
          <t>2263623660002656</t>
        </is>
      </c>
      <c r="AZ364" t="inlineStr">
        <is>
          <t>BOOK</t>
        </is>
      </c>
      <c r="BC364" t="inlineStr">
        <is>
          <t>32285000929140</t>
        </is>
      </c>
      <c r="BD364" t="inlineStr">
        <is>
          <t>893686487</t>
        </is>
      </c>
    </row>
    <row r="365">
      <c r="A365" t="inlineStr">
        <is>
          <t>No</t>
        </is>
      </c>
      <c r="B365" t="inlineStr">
        <is>
          <t>BV3703 .D7</t>
        </is>
      </c>
      <c r="C365" t="inlineStr">
        <is>
          <t>0                      BV 3703000D  7</t>
        </is>
      </c>
      <c r="D365" t="inlineStr">
        <is>
          <t>First white women over the Rockies : diaries, letters, and biographical sketches of the six women of the Oregon Mission who made the overland journey in 1836 and 1838 / with introd. and editorial notes by Clifford Merrill Drury.</t>
        </is>
      </c>
      <c r="E365" t="inlineStr">
        <is>
          <t>V. 3</t>
        </is>
      </c>
      <c r="F365" t="inlineStr">
        <is>
          <t>Yes</t>
        </is>
      </c>
      <c r="G365" t="inlineStr">
        <is>
          <t>1</t>
        </is>
      </c>
      <c r="H365" t="inlineStr">
        <is>
          <t>No</t>
        </is>
      </c>
      <c r="I365" t="inlineStr">
        <is>
          <t>No</t>
        </is>
      </c>
      <c r="J365" t="inlineStr">
        <is>
          <t>0</t>
        </is>
      </c>
      <c r="K365" t="inlineStr">
        <is>
          <t>Drury, Clifford Merrill, 1897-1984, editor.</t>
        </is>
      </c>
      <c r="L365" t="inlineStr">
        <is>
          <t>Glendale, Calif., A. H. Clark Co., 1963-1966.</t>
        </is>
      </c>
      <c r="M365" t="inlineStr">
        <is>
          <t>1963</t>
        </is>
      </c>
      <c r="O365" t="inlineStr">
        <is>
          <t>eng</t>
        </is>
      </c>
      <c r="P365" t="inlineStr">
        <is>
          <t>cau</t>
        </is>
      </c>
      <c r="Q365" t="inlineStr">
        <is>
          <t>Northwest historical series ; 6-8</t>
        </is>
      </c>
      <c r="R365" t="inlineStr">
        <is>
          <t xml:space="preserve">BV </t>
        </is>
      </c>
      <c r="S365" t="n">
        <v>1</v>
      </c>
      <c r="T365" t="n">
        <v>4</v>
      </c>
      <c r="V365" t="inlineStr">
        <is>
          <t>1993-03-05</t>
        </is>
      </c>
      <c r="W365" t="inlineStr">
        <is>
          <t>1992-02-18</t>
        </is>
      </c>
      <c r="X365" t="inlineStr">
        <is>
          <t>1992-02-18</t>
        </is>
      </c>
      <c r="Y365" t="n">
        <v>580</v>
      </c>
      <c r="Z365" t="n">
        <v>559</v>
      </c>
      <c r="AA365" t="n">
        <v>628</v>
      </c>
      <c r="AB365" t="n">
        <v>7</v>
      </c>
      <c r="AC365" t="n">
        <v>7</v>
      </c>
      <c r="AD365" t="n">
        <v>17</v>
      </c>
      <c r="AE365" t="n">
        <v>20</v>
      </c>
      <c r="AF365" t="n">
        <v>4</v>
      </c>
      <c r="AG365" t="n">
        <v>6</v>
      </c>
      <c r="AH365" t="n">
        <v>2</v>
      </c>
      <c r="AI365" t="n">
        <v>4</v>
      </c>
      <c r="AJ365" t="n">
        <v>8</v>
      </c>
      <c r="AK365" t="n">
        <v>8</v>
      </c>
      <c r="AL365" t="n">
        <v>5</v>
      </c>
      <c r="AM365" t="n">
        <v>5</v>
      </c>
      <c r="AN365" t="n">
        <v>0</v>
      </c>
      <c r="AO365" t="n">
        <v>0</v>
      </c>
      <c r="AP365" t="inlineStr">
        <is>
          <t>Yes</t>
        </is>
      </c>
      <c r="AQ365" t="inlineStr">
        <is>
          <t>Yes</t>
        </is>
      </c>
      <c r="AR365">
        <f>HYPERLINK("http://catalog.hathitrust.org/Record/000277910","HathiTrust Record")</f>
        <v/>
      </c>
      <c r="AS365">
        <f>HYPERLINK("https://creighton-primo.hosted.exlibrisgroup.com/primo-explore/search?tab=default_tab&amp;search_scope=EVERYTHING&amp;vid=01CRU&amp;lang=en_US&amp;offset=0&amp;query=any,contains,991003368679702656","Catalog Record")</f>
        <v/>
      </c>
      <c r="AT365">
        <f>HYPERLINK("http://www.worldcat.org/oclc/904461","WorldCat Record")</f>
        <v/>
      </c>
      <c r="AU365" t="inlineStr">
        <is>
          <t>1840191:eng</t>
        </is>
      </c>
      <c r="AV365" t="inlineStr">
        <is>
          <t>904461</t>
        </is>
      </c>
      <c r="AW365" t="inlineStr">
        <is>
          <t>991003368679702656</t>
        </is>
      </c>
      <c r="AX365" t="inlineStr">
        <is>
          <t>991003368679702656</t>
        </is>
      </c>
      <c r="AY365" t="inlineStr">
        <is>
          <t>2263623660002656</t>
        </is>
      </c>
      <c r="AZ365" t="inlineStr">
        <is>
          <t>BOOK</t>
        </is>
      </c>
      <c r="BC365" t="inlineStr">
        <is>
          <t>32285000929165</t>
        </is>
      </c>
      <c r="BD365" t="inlineStr">
        <is>
          <t>893711320</t>
        </is>
      </c>
    </row>
    <row r="366">
      <c r="A366" t="inlineStr">
        <is>
          <t>No</t>
        </is>
      </c>
      <c r="B366" t="inlineStr">
        <is>
          <t>BV3703 .D7</t>
        </is>
      </c>
      <c r="C366" t="inlineStr">
        <is>
          <t>0                      BV 3703000D  7</t>
        </is>
      </c>
      <c r="D366" t="inlineStr">
        <is>
          <t>First white women over the Rockies : diaries, letters, and biographical sketches of the six women of the Oregon Mission who made the overland journey in 1836 and 1838 / with introd. and editorial notes by Clifford Merrill Drury.</t>
        </is>
      </c>
      <c r="E366" t="inlineStr">
        <is>
          <t>V. 2</t>
        </is>
      </c>
      <c r="F366" t="inlineStr">
        <is>
          <t>Yes</t>
        </is>
      </c>
      <c r="G366" t="inlineStr">
        <is>
          <t>1</t>
        </is>
      </c>
      <c r="H366" t="inlineStr">
        <is>
          <t>No</t>
        </is>
      </c>
      <c r="I366" t="inlineStr">
        <is>
          <t>No</t>
        </is>
      </c>
      <c r="J366" t="inlineStr">
        <is>
          <t>0</t>
        </is>
      </c>
      <c r="K366" t="inlineStr">
        <is>
          <t>Drury, Clifford Merrill, 1897-1984, editor.</t>
        </is>
      </c>
      <c r="L366" t="inlineStr">
        <is>
          <t>Glendale, Calif., A. H. Clark Co., 1963-1966.</t>
        </is>
      </c>
      <c r="M366" t="inlineStr">
        <is>
          <t>1963</t>
        </is>
      </c>
      <c r="O366" t="inlineStr">
        <is>
          <t>eng</t>
        </is>
      </c>
      <c r="P366" t="inlineStr">
        <is>
          <t>cau</t>
        </is>
      </c>
      <c r="Q366" t="inlineStr">
        <is>
          <t>Northwest historical series ; 6-8</t>
        </is>
      </c>
      <c r="R366" t="inlineStr">
        <is>
          <t xml:space="preserve">BV </t>
        </is>
      </c>
      <c r="S366" t="n">
        <v>1</v>
      </c>
      <c r="T366" t="n">
        <v>4</v>
      </c>
      <c r="V366" t="inlineStr">
        <is>
          <t>1993-03-05</t>
        </is>
      </c>
      <c r="W366" t="inlineStr">
        <is>
          <t>1992-02-18</t>
        </is>
      </c>
      <c r="X366" t="inlineStr">
        <is>
          <t>1992-02-18</t>
        </is>
      </c>
      <c r="Y366" t="n">
        <v>580</v>
      </c>
      <c r="Z366" t="n">
        <v>559</v>
      </c>
      <c r="AA366" t="n">
        <v>628</v>
      </c>
      <c r="AB366" t="n">
        <v>7</v>
      </c>
      <c r="AC366" t="n">
        <v>7</v>
      </c>
      <c r="AD366" t="n">
        <v>17</v>
      </c>
      <c r="AE366" t="n">
        <v>20</v>
      </c>
      <c r="AF366" t="n">
        <v>4</v>
      </c>
      <c r="AG366" t="n">
        <v>6</v>
      </c>
      <c r="AH366" t="n">
        <v>2</v>
      </c>
      <c r="AI366" t="n">
        <v>4</v>
      </c>
      <c r="AJ366" t="n">
        <v>8</v>
      </c>
      <c r="AK366" t="n">
        <v>8</v>
      </c>
      <c r="AL366" t="n">
        <v>5</v>
      </c>
      <c r="AM366" t="n">
        <v>5</v>
      </c>
      <c r="AN366" t="n">
        <v>0</v>
      </c>
      <c r="AO366" t="n">
        <v>0</v>
      </c>
      <c r="AP366" t="inlineStr">
        <is>
          <t>Yes</t>
        </is>
      </c>
      <c r="AQ366" t="inlineStr">
        <is>
          <t>Yes</t>
        </is>
      </c>
      <c r="AR366">
        <f>HYPERLINK("http://catalog.hathitrust.org/Record/000277910","HathiTrust Record")</f>
        <v/>
      </c>
      <c r="AS366">
        <f>HYPERLINK("https://creighton-primo.hosted.exlibrisgroup.com/primo-explore/search?tab=default_tab&amp;search_scope=EVERYTHING&amp;vid=01CRU&amp;lang=en_US&amp;offset=0&amp;query=any,contains,991003368679702656","Catalog Record")</f>
        <v/>
      </c>
      <c r="AT366">
        <f>HYPERLINK("http://www.worldcat.org/oclc/904461","WorldCat Record")</f>
        <v/>
      </c>
      <c r="AU366" t="inlineStr">
        <is>
          <t>1840191:eng</t>
        </is>
      </c>
      <c r="AV366" t="inlineStr">
        <is>
          <t>904461</t>
        </is>
      </c>
      <c r="AW366" t="inlineStr">
        <is>
          <t>991003368679702656</t>
        </is>
      </c>
      <c r="AX366" t="inlineStr">
        <is>
          <t>991003368679702656</t>
        </is>
      </c>
      <c r="AY366" t="inlineStr">
        <is>
          <t>2263623660002656</t>
        </is>
      </c>
      <c r="AZ366" t="inlineStr">
        <is>
          <t>BOOK</t>
        </is>
      </c>
      <c r="BC366" t="inlineStr">
        <is>
          <t>32285000929157</t>
        </is>
      </c>
      <c r="BD366" t="inlineStr">
        <is>
          <t>893717591</t>
        </is>
      </c>
    </row>
    <row r="367">
      <c r="A367" t="inlineStr">
        <is>
          <t>No</t>
        </is>
      </c>
      <c r="B367" t="inlineStr">
        <is>
          <t>BV3755 .I54 1983</t>
        </is>
      </c>
      <c r="C367" t="inlineStr">
        <is>
          <t>0                      BV 3755000I  54          1983</t>
        </is>
      </c>
      <c r="D367" t="inlineStr">
        <is>
          <t>The calling of an evangelist : the second International Congress for Itinerant Evangelists, Amsterdam, The Netherlands / edited by J.D. Douglas.</t>
        </is>
      </c>
      <c r="F367" t="inlineStr">
        <is>
          <t>No</t>
        </is>
      </c>
      <c r="G367" t="inlineStr">
        <is>
          <t>1</t>
        </is>
      </c>
      <c r="H367" t="inlineStr">
        <is>
          <t>No</t>
        </is>
      </c>
      <c r="I367" t="inlineStr">
        <is>
          <t>No</t>
        </is>
      </c>
      <c r="J367" t="inlineStr">
        <is>
          <t>0</t>
        </is>
      </c>
      <c r="K367" t="inlineStr">
        <is>
          <t>International Conference for Itinerant Evangelists (2nd : 1986 : Amsterdam, Netherlands)</t>
        </is>
      </c>
      <c r="L367" t="inlineStr">
        <is>
          <t>Minneapolis, Minn., U.S.A. : World Wide Publications, c1987.</t>
        </is>
      </c>
      <c r="M367" t="inlineStr">
        <is>
          <t>1987</t>
        </is>
      </c>
      <c r="O367" t="inlineStr">
        <is>
          <t>eng</t>
        </is>
      </c>
      <c r="P367" t="inlineStr">
        <is>
          <t>mnu</t>
        </is>
      </c>
      <c r="R367" t="inlineStr">
        <is>
          <t xml:space="preserve">BV </t>
        </is>
      </c>
      <c r="S367" t="n">
        <v>2</v>
      </c>
      <c r="T367" t="n">
        <v>2</v>
      </c>
      <c r="U367" t="inlineStr">
        <is>
          <t>1996-11-07</t>
        </is>
      </c>
      <c r="V367" t="inlineStr">
        <is>
          <t>1996-11-07</t>
        </is>
      </c>
      <c r="W367" t="inlineStr">
        <is>
          <t>1992-02-19</t>
        </is>
      </c>
      <c r="X367" t="inlineStr">
        <is>
          <t>1992-02-19</t>
        </is>
      </c>
      <c r="Y367" t="n">
        <v>499</v>
      </c>
      <c r="Z367" t="n">
        <v>453</v>
      </c>
      <c r="AA367" t="n">
        <v>459</v>
      </c>
      <c r="AB367" t="n">
        <v>6</v>
      </c>
      <c r="AC367" t="n">
        <v>6</v>
      </c>
      <c r="AD367" t="n">
        <v>28</v>
      </c>
      <c r="AE367" t="n">
        <v>28</v>
      </c>
      <c r="AF367" t="n">
        <v>10</v>
      </c>
      <c r="AG367" t="n">
        <v>10</v>
      </c>
      <c r="AH367" t="n">
        <v>6</v>
      </c>
      <c r="AI367" t="n">
        <v>6</v>
      </c>
      <c r="AJ367" t="n">
        <v>12</v>
      </c>
      <c r="AK367" t="n">
        <v>12</v>
      </c>
      <c r="AL367" t="n">
        <v>4</v>
      </c>
      <c r="AM367" t="n">
        <v>4</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HYPERLINK("https://creighton-primo.hosted.exlibrisgroup.com/primo-explore/search?tab=default_tab&amp;search_scope=EVERYTHING&amp;vid=01CRU&amp;lang=en_US&amp;offset=0&amp;query=any,contains,991001108339702656","Catalog Record")</f>
        <v/>
      </c>
      <c r="AT367">
        <f>HYPERLINK("http://www.worldcat.org/oclc/16411076","WorldCat Record")</f>
        <v/>
      </c>
      <c r="AU367" t="inlineStr">
        <is>
          <t>1374155446:eng</t>
        </is>
      </c>
      <c r="AV367" t="inlineStr">
        <is>
          <t>16411076</t>
        </is>
      </c>
      <c r="AW367" t="inlineStr">
        <is>
          <t>991001108339702656</t>
        </is>
      </c>
      <c r="AX367" t="inlineStr">
        <is>
          <t>991001108339702656</t>
        </is>
      </c>
      <c r="AY367" t="inlineStr">
        <is>
          <t>2258180770002656</t>
        </is>
      </c>
      <c r="AZ367" t="inlineStr">
        <is>
          <t>BOOK</t>
        </is>
      </c>
      <c r="BB367" t="inlineStr">
        <is>
          <t>9780890660874</t>
        </is>
      </c>
      <c r="BC367" t="inlineStr">
        <is>
          <t>32285000929173</t>
        </is>
      </c>
      <c r="BD367" t="inlineStr">
        <is>
          <t>893797300</t>
        </is>
      </c>
    </row>
    <row r="368">
      <c r="A368" t="inlineStr">
        <is>
          <t>No</t>
        </is>
      </c>
      <c r="B368" t="inlineStr">
        <is>
          <t>BV3770 .P33 1988</t>
        </is>
      </c>
      <c r="C368" t="inlineStr">
        <is>
          <t>0                      BV 3770000P  33          1988</t>
        </is>
      </c>
      <c r="D368" t="inlineStr">
        <is>
          <t>Evangelism in America : from tents to TV / William Packard.</t>
        </is>
      </c>
      <c r="F368" t="inlineStr">
        <is>
          <t>No</t>
        </is>
      </c>
      <c r="G368" t="inlineStr">
        <is>
          <t>1</t>
        </is>
      </c>
      <c r="H368" t="inlineStr">
        <is>
          <t>No</t>
        </is>
      </c>
      <c r="I368" t="inlineStr">
        <is>
          <t>No</t>
        </is>
      </c>
      <c r="J368" t="inlineStr">
        <is>
          <t>0</t>
        </is>
      </c>
      <c r="K368" t="inlineStr">
        <is>
          <t>Packard, William.</t>
        </is>
      </c>
      <c r="L368" t="inlineStr">
        <is>
          <t>New York : Paragon House, 1988.</t>
        </is>
      </c>
      <c r="M368" t="inlineStr">
        <is>
          <t>1988</t>
        </is>
      </c>
      <c r="N368" t="inlineStr">
        <is>
          <t>1st ed.</t>
        </is>
      </c>
      <c r="O368" t="inlineStr">
        <is>
          <t>eng</t>
        </is>
      </c>
      <c r="P368" t="inlineStr">
        <is>
          <t>nyu</t>
        </is>
      </c>
      <c r="R368" t="inlineStr">
        <is>
          <t xml:space="preserve">BV </t>
        </is>
      </c>
      <c r="S368" t="n">
        <v>7</v>
      </c>
      <c r="T368" t="n">
        <v>7</v>
      </c>
      <c r="U368" t="inlineStr">
        <is>
          <t>2000-12-07</t>
        </is>
      </c>
      <c r="V368" t="inlineStr">
        <is>
          <t>2000-12-07</t>
        </is>
      </c>
      <c r="W368" t="inlineStr">
        <is>
          <t>1990-02-26</t>
        </is>
      </c>
      <c r="X368" t="inlineStr">
        <is>
          <t>1990-02-26</t>
        </is>
      </c>
      <c r="Y368" t="n">
        <v>432</v>
      </c>
      <c r="Z368" t="n">
        <v>399</v>
      </c>
      <c r="AA368" t="n">
        <v>408</v>
      </c>
      <c r="AB368" t="n">
        <v>4</v>
      </c>
      <c r="AC368" t="n">
        <v>4</v>
      </c>
      <c r="AD368" t="n">
        <v>14</v>
      </c>
      <c r="AE368" t="n">
        <v>14</v>
      </c>
      <c r="AF368" t="n">
        <v>5</v>
      </c>
      <c r="AG368" t="n">
        <v>5</v>
      </c>
      <c r="AH368" t="n">
        <v>2</v>
      </c>
      <c r="AI368" t="n">
        <v>2</v>
      </c>
      <c r="AJ368" t="n">
        <v>7</v>
      </c>
      <c r="AK368" t="n">
        <v>7</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HYPERLINK("https://creighton-primo.hosted.exlibrisgroup.com/primo-explore/search?tab=default_tab&amp;search_scope=EVERYTHING&amp;vid=01CRU&amp;lang=en_US&amp;offset=0&amp;query=any,contains,991000991339702656","Catalog Record")</f>
        <v/>
      </c>
      <c r="AT368">
        <f>HYPERLINK("http://www.worldcat.org/oclc/15108150","WorldCat Record")</f>
        <v/>
      </c>
      <c r="AU368" t="inlineStr">
        <is>
          <t>8361923:eng</t>
        </is>
      </c>
      <c r="AV368" t="inlineStr">
        <is>
          <t>15108150</t>
        </is>
      </c>
      <c r="AW368" t="inlineStr">
        <is>
          <t>991000991339702656</t>
        </is>
      </c>
      <c r="AX368" t="inlineStr">
        <is>
          <t>991000991339702656</t>
        </is>
      </c>
      <c r="AY368" t="inlineStr">
        <is>
          <t>2267609470002656</t>
        </is>
      </c>
      <c r="AZ368" t="inlineStr">
        <is>
          <t>BOOK</t>
        </is>
      </c>
      <c r="BB368" t="inlineStr">
        <is>
          <t>9781557781796</t>
        </is>
      </c>
      <c r="BC368" t="inlineStr">
        <is>
          <t>32285000041102</t>
        </is>
      </c>
      <c r="BD368" t="inlineStr">
        <is>
          <t>893509286</t>
        </is>
      </c>
    </row>
    <row r="369">
      <c r="A369" t="inlineStr">
        <is>
          <t>No</t>
        </is>
      </c>
      <c r="B369" t="inlineStr">
        <is>
          <t>BV3773 .B78 1990</t>
        </is>
      </c>
      <c r="C369" t="inlineStr">
        <is>
          <t>0                      BV 3773000B  78          1990</t>
        </is>
      </c>
      <c r="D369" t="inlineStr">
        <is>
          <t>Pray TV : televangelism in America / Steve Bruce.</t>
        </is>
      </c>
      <c r="F369" t="inlineStr">
        <is>
          <t>No</t>
        </is>
      </c>
      <c r="G369" t="inlineStr">
        <is>
          <t>1</t>
        </is>
      </c>
      <c r="H369" t="inlineStr">
        <is>
          <t>No</t>
        </is>
      </c>
      <c r="I369" t="inlineStr">
        <is>
          <t>No</t>
        </is>
      </c>
      <c r="J369" t="inlineStr">
        <is>
          <t>0</t>
        </is>
      </c>
      <c r="K369" t="inlineStr">
        <is>
          <t>Bruce, Steve, 1954-</t>
        </is>
      </c>
      <c r="L369" t="inlineStr">
        <is>
          <t>London ; New York : Routledge, 1990.</t>
        </is>
      </c>
      <c r="M369" t="inlineStr">
        <is>
          <t>1990</t>
        </is>
      </c>
      <c r="O369" t="inlineStr">
        <is>
          <t>eng</t>
        </is>
      </c>
      <c r="P369" t="inlineStr">
        <is>
          <t>enk</t>
        </is>
      </c>
      <c r="R369" t="inlineStr">
        <is>
          <t xml:space="preserve">BV </t>
        </is>
      </c>
      <c r="S369" t="n">
        <v>5</v>
      </c>
      <c r="T369" t="n">
        <v>5</v>
      </c>
      <c r="U369" t="inlineStr">
        <is>
          <t>1996-11-24</t>
        </is>
      </c>
      <c r="V369" t="inlineStr">
        <is>
          <t>1996-11-24</t>
        </is>
      </c>
      <c r="W369" t="inlineStr">
        <is>
          <t>1991-06-14</t>
        </is>
      </c>
      <c r="X369" t="inlineStr">
        <is>
          <t>1991-06-14</t>
        </is>
      </c>
      <c r="Y369" t="n">
        <v>376</v>
      </c>
      <c r="Z369" t="n">
        <v>250</v>
      </c>
      <c r="AA369" t="n">
        <v>274</v>
      </c>
      <c r="AB369" t="n">
        <v>2</v>
      </c>
      <c r="AC369" t="n">
        <v>2</v>
      </c>
      <c r="AD369" t="n">
        <v>12</v>
      </c>
      <c r="AE369" t="n">
        <v>12</v>
      </c>
      <c r="AF369" t="n">
        <v>2</v>
      </c>
      <c r="AG369" t="n">
        <v>2</v>
      </c>
      <c r="AH369" t="n">
        <v>4</v>
      </c>
      <c r="AI369" t="n">
        <v>4</v>
      </c>
      <c r="AJ369" t="n">
        <v>7</v>
      </c>
      <c r="AK369" t="n">
        <v>7</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HYPERLINK("https://creighton-primo.hosted.exlibrisgroup.com/primo-explore/search?tab=default_tab&amp;search_scope=EVERYTHING&amp;vid=01CRU&amp;lang=en_US&amp;offset=0&amp;query=any,contains,991001555909702656","Catalog Record")</f>
        <v/>
      </c>
      <c r="AT369">
        <f>HYPERLINK("http://www.worldcat.org/oclc/20264046","WorldCat Record")</f>
        <v/>
      </c>
      <c r="AU369" t="inlineStr">
        <is>
          <t>22129333:eng</t>
        </is>
      </c>
      <c r="AV369" t="inlineStr">
        <is>
          <t>20264046</t>
        </is>
      </c>
      <c r="AW369" t="inlineStr">
        <is>
          <t>991001555909702656</t>
        </is>
      </c>
      <c r="AX369" t="inlineStr">
        <is>
          <t>991001555909702656</t>
        </is>
      </c>
      <c r="AY369" t="inlineStr">
        <is>
          <t>2259819460002656</t>
        </is>
      </c>
      <c r="AZ369" t="inlineStr">
        <is>
          <t>BOOK</t>
        </is>
      </c>
      <c r="BB369" t="inlineStr">
        <is>
          <t>9780415030984</t>
        </is>
      </c>
      <c r="BC369" t="inlineStr">
        <is>
          <t>32285000656644</t>
        </is>
      </c>
      <c r="BD369" t="inlineStr">
        <is>
          <t>893334384</t>
        </is>
      </c>
    </row>
    <row r="370">
      <c r="A370" t="inlineStr">
        <is>
          <t>No</t>
        </is>
      </c>
      <c r="B370" t="inlineStr">
        <is>
          <t>BV3773 .H37 1975</t>
        </is>
      </c>
      <c r="C370" t="inlineStr">
        <is>
          <t>0                      BV 3773000H  37          1975</t>
        </is>
      </c>
      <c r="D370" t="inlineStr">
        <is>
          <t>All things are possible : the healing &amp; charismatic revivals in modern America / David Edwin Harrell, Jr.</t>
        </is>
      </c>
      <c r="F370" t="inlineStr">
        <is>
          <t>No</t>
        </is>
      </c>
      <c r="G370" t="inlineStr">
        <is>
          <t>1</t>
        </is>
      </c>
      <c r="H370" t="inlineStr">
        <is>
          <t>No</t>
        </is>
      </c>
      <c r="I370" t="inlineStr">
        <is>
          <t>No</t>
        </is>
      </c>
      <c r="J370" t="inlineStr">
        <is>
          <t>0</t>
        </is>
      </c>
      <c r="K370" t="inlineStr">
        <is>
          <t>Harrell, David Edwin, Jr. 1930-</t>
        </is>
      </c>
      <c r="L370" t="inlineStr">
        <is>
          <t>Bloomington : Indiana University Press, [1975]</t>
        </is>
      </c>
      <c r="M370" t="inlineStr">
        <is>
          <t>1975</t>
        </is>
      </c>
      <c r="O370" t="inlineStr">
        <is>
          <t>eng</t>
        </is>
      </c>
      <c r="P370" t="inlineStr">
        <is>
          <t>inu</t>
        </is>
      </c>
      <c r="R370" t="inlineStr">
        <is>
          <t xml:space="preserve">BV </t>
        </is>
      </c>
      <c r="S370" t="n">
        <v>2</v>
      </c>
      <c r="T370" t="n">
        <v>2</v>
      </c>
      <c r="U370" t="inlineStr">
        <is>
          <t>1992-09-24</t>
        </is>
      </c>
      <c r="V370" t="inlineStr">
        <is>
          <t>1992-09-24</t>
        </is>
      </c>
      <c r="W370" t="inlineStr">
        <is>
          <t>1992-02-19</t>
        </is>
      </c>
      <c r="X370" t="inlineStr">
        <is>
          <t>1992-02-19</t>
        </is>
      </c>
      <c r="Y370" t="n">
        <v>1225</v>
      </c>
      <c r="Z370" t="n">
        <v>1125</v>
      </c>
      <c r="AA370" t="n">
        <v>1175</v>
      </c>
      <c r="AB370" t="n">
        <v>7</v>
      </c>
      <c r="AC370" t="n">
        <v>7</v>
      </c>
      <c r="AD370" t="n">
        <v>45</v>
      </c>
      <c r="AE370" t="n">
        <v>46</v>
      </c>
      <c r="AF370" t="n">
        <v>20</v>
      </c>
      <c r="AG370" t="n">
        <v>21</v>
      </c>
      <c r="AH370" t="n">
        <v>7</v>
      </c>
      <c r="AI370" t="n">
        <v>8</v>
      </c>
      <c r="AJ370" t="n">
        <v>22</v>
      </c>
      <c r="AK370" t="n">
        <v>22</v>
      </c>
      <c r="AL370" t="n">
        <v>6</v>
      </c>
      <c r="AM370" t="n">
        <v>6</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HYPERLINK("https://creighton-primo.hosted.exlibrisgroup.com/primo-explore/search?tab=default_tab&amp;search_scope=EVERYTHING&amp;vid=01CRU&amp;lang=en_US&amp;offset=0&amp;query=any,contains,991003704359702656","Catalog Record")</f>
        <v/>
      </c>
      <c r="AT370">
        <f>HYPERLINK("http://www.worldcat.org/oclc/1341340","WorldCat Record")</f>
        <v/>
      </c>
      <c r="AU370" t="inlineStr">
        <is>
          <t>836619357:eng</t>
        </is>
      </c>
      <c r="AV370" t="inlineStr">
        <is>
          <t>1341340</t>
        </is>
      </c>
      <c r="AW370" t="inlineStr">
        <is>
          <t>991003704359702656</t>
        </is>
      </c>
      <c r="AX370" t="inlineStr">
        <is>
          <t>991003704359702656</t>
        </is>
      </c>
      <c r="AY370" t="inlineStr">
        <is>
          <t>2262325200002656</t>
        </is>
      </c>
      <c r="AZ370" t="inlineStr">
        <is>
          <t>BOOK</t>
        </is>
      </c>
      <c r="BB370" t="inlineStr">
        <is>
          <t>9780253100900</t>
        </is>
      </c>
      <c r="BC370" t="inlineStr">
        <is>
          <t>32285000929223</t>
        </is>
      </c>
      <c r="BD370" t="inlineStr">
        <is>
          <t>893349033</t>
        </is>
      </c>
    </row>
    <row r="371">
      <c r="A371" t="inlineStr">
        <is>
          <t>No</t>
        </is>
      </c>
      <c r="B371" t="inlineStr">
        <is>
          <t>BV3773 .J67</t>
        </is>
      </c>
      <c r="C371" t="inlineStr">
        <is>
          <t>0                      BV 3773000J  67</t>
        </is>
      </c>
      <c r="D371" t="inlineStr">
        <is>
          <t>That new-time religion : the Jesus revival in America / Erling Jorstad.</t>
        </is>
      </c>
      <c r="F371" t="inlineStr">
        <is>
          <t>No</t>
        </is>
      </c>
      <c r="G371" t="inlineStr">
        <is>
          <t>1</t>
        </is>
      </c>
      <c r="H371" t="inlineStr">
        <is>
          <t>No</t>
        </is>
      </c>
      <c r="I371" t="inlineStr">
        <is>
          <t>No</t>
        </is>
      </c>
      <c r="J371" t="inlineStr">
        <is>
          <t>0</t>
        </is>
      </c>
      <c r="K371" t="inlineStr">
        <is>
          <t>Jorstad, Erling, 1930-</t>
        </is>
      </c>
      <c r="L371" t="inlineStr">
        <is>
          <t>Minneapolis, Augsburg Pub. House [1972]</t>
        </is>
      </c>
      <c r="M371" t="inlineStr">
        <is>
          <t>1972</t>
        </is>
      </c>
      <c r="O371" t="inlineStr">
        <is>
          <t>eng</t>
        </is>
      </c>
      <c r="P371" t="inlineStr">
        <is>
          <t>mnu</t>
        </is>
      </c>
      <c r="R371" t="inlineStr">
        <is>
          <t xml:space="preserve">BV </t>
        </is>
      </c>
      <c r="S371" t="n">
        <v>4</v>
      </c>
      <c r="T371" t="n">
        <v>4</v>
      </c>
      <c r="U371" t="inlineStr">
        <is>
          <t>1996-11-07</t>
        </is>
      </c>
      <c r="V371" t="inlineStr">
        <is>
          <t>1996-11-07</t>
        </is>
      </c>
      <c r="W371" t="inlineStr">
        <is>
          <t>1992-02-19</t>
        </is>
      </c>
      <c r="X371" t="inlineStr">
        <is>
          <t>1992-02-19</t>
        </is>
      </c>
      <c r="Y371" t="n">
        <v>303</v>
      </c>
      <c r="Z371" t="n">
        <v>268</v>
      </c>
      <c r="AA371" t="n">
        <v>270</v>
      </c>
      <c r="AB371" t="n">
        <v>3</v>
      </c>
      <c r="AC371" t="n">
        <v>3</v>
      </c>
      <c r="AD371" t="n">
        <v>12</v>
      </c>
      <c r="AE371" t="n">
        <v>12</v>
      </c>
      <c r="AF371" t="n">
        <v>5</v>
      </c>
      <c r="AG371" t="n">
        <v>5</v>
      </c>
      <c r="AH371" t="n">
        <v>2</v>
      </c>
      <c r="AI371" t="n">
        <v>2</v>
      </c>
      <c r="AJ371" t="n">
        <v>6</v>
      </c>
      <c r="AK371" t="n">
        <v>6</v>
      </c>
      <c r="AL371" t="n">
        <v>2</v>
      </c>
      <c r="AM371" t="n">
        <v>2</v>
      </c>
      <c r="AN371" t="n">
        <v>0</v>
      </c>
      <c r="AO371" t="n">
        <v>0</v>
      </c>
      <c r="AP371" t="inlineStr">
        <is>
          <t>No</t>
        </is>
      </c>
      <c r="AQ371" t="inlineStr">
        <is>
          <t>Yes</t>
        </is>
      </c>
      <c r="AR371">
        <f>HYPERLINK("http://catalog.hathitrust.org/Record/009759740","HathiTrust Record")</f>
        <v/>
      </c>
      <c r="AS371">
        <f>HYPERLINK("https://creighton-primo.hosted.exlibrisgroup.com/primo-explore/search?tab=default_tab&amp;search_scope=EVERYTHING&amp;vid=01CRU&amp;lang=en_US&amp;offset=0&amp;query=any,contains,991002799859702656","Catalog Record")</f>
        <v/>
      </c>
      <c r="AT371">
        <f>HYPERLINK("http://www.worldcat.org/oclc/446324","WorldCat Record")</f>
        <v/>
      </c>
      <c r="AU371" t="inlineStr">
        <is>
          <t>198952153:eng</t>
        </is>
      </c>
      <c r="AV371" t="inlineStr">
        <is>
          <t>446324</t>
        </is>
      </c>
      <c r="AW371" t="inlineStr">
        <is>
          <t>991002799859702656</t>
        </is>
      </c>
      <c r="AX371" t="inlineStr">
        <is>
          <t>991002799859702656</t>
        </is>
      </c>
      <c r="AY371" t="inlineStr">
        <is>
          <t>2265635770002656</t>
        </is>
      </c>
      <c r="AZ371" t="inlineStr">
        <is>
          <t>BOOK</t>
        </is>
      </c>
      <c r="BB371" t="inlineStr">
        <is>
          <t>9780806612218</t>
        </is>
      </c>
      <c r="BC371" t="inlineStr">
        <is>
          <t>32285000929231</t>
        </is>
      </c>
      <c r="BD371" t="inlineStr">
        <is>
          <t>893498550</t>
        </is>
      </c>
    </row>
    <row r="372">
      <c r="A372" t="inlineStr">
        <is>
          <t>No</t>
        </is>
      </c>
      <c r="B372" t="inlineStr">
        <is>
          <t>BV3773 .L83 1989</t>
        </is>
      </c>
      <c r="C372" t="inlineStr">
        <is>
          <t>0                      BV 3773000L  83          1989</t>
        </is>
      </c>
      <c r="D372" t="inlineStr">
        <is>
          <t>Under God's spell : frontier evangelists, 1772-1915 / by Cathy Luchetti.</t>
        </is>
      </c>
      <c r="F372" t="inlineStr">
        <is>
          <t>No</t>
        </is>
      </c>
      <c r="G372" t="inlineStr">
        <is>
          <t>1</t>
        </is>
      </c>
      <c r="H372" t="inlineStr">
        <is>
          <t>No</t>
        </is>
      </c>
      <c r="I372" t="inlineStr">
        <is>
          <t>No</t>
        </is>
      </c>
      <c r="J372" t="inlineStr">
        <is>
          <t>0</t>
        </is>
      </c>
      <c r="K372" t="inlineStr">
        <is>
          <t>Luchetti, Cathy, 1945-</t>
        </is>
      </c>
      <c r="L372" t="inlineStr">
        <is>
          <t>San Diego : Harcourt Brace Jovanovich, c1989.</t>
        </is>
      </c>
      <c r="M372" t="inlineStr">
        <is>
          <t>1989</t>
        </is>
      </c>
      <c r="N372" t="inlineStr">
        <is>
          <t>1st ed.</t>
        </is>
      </c>
      <c r="O372" t="inlineStr">
        <is>
          <t>eng</t>
        </is>
      </c>
      <c r="P372" t="inlineStr">
        <is>
          <t>cau</t>
        </is>
      </c>
      <c r="R372" t="inlineStr">
        <is>
          <t xml:space="preserve">BV </t>
        </is>
      </c>
      <c r="S372" t="n">
        <v>2</v>
      </c>
      <c r="T372" t="n">
        <v>2</v>
      </c>
      <c r="U372" t="inlineStr">
        <is>
          <t>2008-05-15</t>
        </is>
      </c>
      <c r="V372" t="inlineStr">
        <is>
          <t>2008-05-15</t>
        </is>
      </c>
      <c r="W372" t="inlineStr">
        <is>
          <t>1990-06-29</t>
        </is>
      </c>
      <c r="X372" t="inlineStr">
        <is>
          <t>1990-06-29</t>
        </is>
      </c>
      <c r="Y372" t="n">
        <v>503</v>
      </c>
      <c r="Z372" t="n">
        <v>480</v>
      </c>
      <c r="AA372" t="n">
        <v>487</v>
      </c>
      <c r="AB372" t="n">
        <v>3</v>
      </c>
      <c r="AC372" t="n">
        <v>3</v>
      </c>
      <c r="AD372" t="n">
        <v>15</v>
      </c>
      <c r="AE372" t="n">
        <v>15</v>
      </c>
      <c r="AF372" t="n">
        <v>8</v>
      </c>
      <c r="AG372" t="n">
        <v>8</v>
      </c>
      <c r="AH372" t="n">
        <v>2</v>
      </c>
      <c r="AI372" t="n">
        <v>2</v>
      </c>
      <c r="AJ372" t="n">
        <v>11</v>
      </c>
      <c r="AK372" t="n">
        <v>11</v>
      </c>
      <c r="AL372" t="n">
        <v>1</v>
      </c>
      <c r="AM372" t="n">
        <v>1</v>
      </c>
      <c r="AN372" t="n">
        <v>0</v>
      </c>
      <c r="AO372" t="n">
        <v>0</v>
      </c>
      <c r="AP372" t="inlineStr">
        <is>
          <t>No</t>
        </is>
      </c>
      <c r="AQ372" t="inlineStr">
        <is>
          <t>Yes</t>
        </is>
      </c>
      <c r="AR372">
        <f>HYPERLINK("http://catalog.hathitrust.org/Record/001822562","HathiTrust Record")</f>
        <v/>
      </c>
      <c r="AS372">
        <f>HYPERLINK("https://creighton-primo.hosted.exlibrisgroup.com/primo-explore/search?tab=default_tab&amp;search_scope=EVERYTHING&amp;vid=01CRU&amp;lang=en_US&amp;offset=0&amp;query=any,contains,991001501739702656","Catalog Record")</f>
        <v/>
      </c>
      <c r="AT372">
        <f>HYPERLINK("http://www.worldcat.org/oclc/19811110","WorldCat Record")</f>
        <v/>
      </c>
      <c r="AU372" t="inlineStr">
        <is>
          <t>427485419:eng</t>
        </is>
      </c>
      <c r="AV372" t="inlineStr">
        <is>
          <t>19811110</t>
        </is>
      </c>
      <c r="AW372" t="inlineStr">
        <is>
          <t>991001501739702656</t>
        </is>
      </c>
      <c r="AX372" t="inlineStr">
        <is>
          <t>991001501739702656</t>
        </is>
      </c>
      <c r="AY372" t="inlineStr">
        <is>
          <t>2262519970002656</t>
        </is>
      </c>
      <c r="AZ372" t="inlineStr">
        <is>
          <t>BOOK</t>
        </is>
      </c>
      <c r="BB372" t="inlineStr">
        <is>
          <t>9780156927918</t>
        </is>
      </c>
      <c r="BC372" t="inlineStr">
        <is>
          <t>32285005408090</t>
        </is>
      </c>
      <c r="BD372" t="inlineStr">
        <is>
          <t>893772630</t>
        </is>
      </c>
    </row>
    <row r="373">
      <c r="A373" t="inlineStr">
        <is>
          <t>No</t>
        </is>
      </c>
      <c r="B373" t="inlineStr">
        <is>
          <t>BV3773 .N65 2001</t>
        </is>
      </c>
      <c r="C373" t="inlineStr">
        <is>
          <t>0                      BV 3773000N  65          2001</t>
        </is>
      </c>
      <c r="D373" t="inlineStr">
        <is>
          <t>American evangelical Christianity : an introduction / Mark A. Noll.</t>
        </is>
      </c>
      <c r="F373" t="inlineStr">
        <is>
          <t>No</t>
        </is>
      </c>
      <c r="G373" t="inlineStr">
        <is>
          <t>1</t>
        </is>
      </c>
      <c r="H373" t="inlineStr">
        <is>
          <t>No</t>
        </is>
      </c>
      <c r="I373" t="inlineStr">
        <is>
          <t>No</t>
        </is>
      </c>
      <c r="J373" t="inlineStr">
        <is>
          <t>0</t>
        </is>
      </c>
      <c r="K373" t="inlineStr">
        <is>
          <t>Noll, Mark A., 1946-</t>
        </is>
      </c>
      <c r="L373" t="inlineStr">
        <is>
          <t>Oxford ; Malden, Mass. : Blackwell Publishers, c2001.</t>
        </is>
      </c>
      <c r="M373" t="inlineStr">
        <is>
          <t>2001</t>
        </is>
      </c>
      <c r="O373" t="inlineStr">
        <is>
          <t>eng</t>
        </is>
      </c>
      <c r="P373" t="inlineStr">
        <is>
          <t>enk</t>
        </is>
      </c>
      <c r="R373" t="inlineStr">
        <is>
          <t xml:space="preserve">BV </t>
        </is>
      </c>
      <c r="S373" t="n">
        <v>1</v>
      </c>
      <c r="T373" t="n">
        <v>1</v>
      </c>
      <c r="U373" t="inlineStr">
        <is>
          <t>2008-12-11</t>
        </is>
      </c>
      <c r="V373" t="inlineStr">
        <is>
          <t>2008-12-11</t>
        </is>
      </c>
      <c r="W373" t="inlineStr">
        <is>
          <t>2008-12-11</t>
        </is>
      </c>
      <c r="X373" t="inlineStr">
        <is>
          <t>2008-12-11</t>
        </is>
      </c>
      <c r="Y373" t="n">
        <v>603</v>
      </c>
      <c r="Z373" t="n">
        <v>515</v>
      </c>
      <c r="AA373" t="n">
        <v>518</v>
      </c>
      <c r="AB373" t="n">
        <v>4</v>
      </c>
      <c r="AC373" t="n">
        <v>4</v>
      </c>
      <c r="AD373" t="n">
        <v>30</v>
      </c>
      <c r="AE373" t="n">
        <v>30</v>
      </c>
      <c r="AF373" t="n">
        <v>16</v>
      </c>
      <c r="AG373" t="n">
        <v>16</v>
      </c>
      <c r="AH373" t="n">
        <v>5</v>
      </c>
      <c r="AI373" t="n">
        <v>5</v>
      </c>
      <c r="AJ373" t="n">
        <v>12</v>
      </c>
      <c r="AK373" t="n">
        <v>12</v>
      </c>
      <c r="AL373" t="n">
        <v>3</v>
      </c>
      <c r="AM373" t="n">
        <v>3</v>
      </c>
      <c r="AN373" t="n">
        <v>0</v>
      </c>
      <c r="AO373" t="n">
        <v>0</v>
      </c>
      <c r="AP373" t="inlineStr">
        <is>
          <t>No</t>
        </is>
      </c>
      <c r="AQ373" t="inlineStr">
        <is>
          <t>Yes</t>
        </is>
      </c>
      <c r="AR373">
        <f>HYPERLINK("http://catalog.hathitrust.org/Record/004347440","HathiTrust Record")</f>
        <v/>
      </c>
      <c r="AS373">
        <f>HYPERLINK("https://creighton-primo.hosted.exlibrisgroup.com/primo-explore/search?tab=default_tab&amp;search_scope=EVERYTHING&amp;vid=01CRU&amp;lang=en_US&amp;offset=0&amp;query=any,contains,991005283359702656","Catalog Record")</f>
        <v/>
      </c>
      <c r="AT373">
        <f>HYPERLINK("http://www.worldcat.org/oclc/44493137","WorldCat Record")</f>
        <v/>
      </c>
      <c r="AU373" t="inlineStr">
        <is>
          <t>365025045:eng</t>
        </is>
      </c>
      <c r="AV373" t="inlineStr">
        <is>
          <t>44493137</t>
        </is>
      </c>
      <c r="AW373" t="inlineStr">
        <is>
          <t>991005283359702656</t>
        </is>
      </c>
      <c r="AX373" t="inlineStr">
        <is>
          <t>991005283359702656</t>
        </is>
      </c>
      <c r="AY373" t="inlineStr">
        <is>
          <t>2269493020002656</t>
        </is>
      </c>
      <c r="AZ373" t="inlineStr">
        <is>
          <t>BOOK</t>
        </is>
      </c>
      <c r="BB373" t="inlineStr">
        <is>
          <t>9780631219996</t>
        </is>
      </c>
      <c r="BC373" t="inlineStr">
        <is>
          <t>32285005472641</t>
        </is>
      </c>
      <c r="BD373" t="inlineStr">
        <is>
          <t>893707583</t>
        </is>
      </c>
    </row>
    <row r="374">
      <c r="A374" t="inlineStr">
        <is>
          <t>No</t>
        </is>
      </c>
      <c r="B374" t="inlineStr">
        <is>
          <t>BV3773 .T49 1997</t>
        </is>
      </c>
      <c r="C374" t="inlineStr">
        <is>
          <t>0                      BV 3773000T  49          1997</t>
        </is>
      </c>
      <c r="D374" t="inlineStr">
        <is>
          <t>Revivalism and cultural change : Christianity, nation building, and the market in the nineteenth-century United States / George M. Thomas.</t>
        </is>
      </c>
      <c r="F374" t="inlineStr">
        <is>
          <t>No</t>
        </is>
      </c>
      <c r="G374" t="inlineStr">
        <is>
          <t>1</t>
        </is>
      </c>
      <c r="H374" t="inlineStr">
        <is>
          <t>No</t>
        </is>
      </c>
      <c r="I374" t="inlineStr">
        <is>
          <t>No</t>
        </is>
      </c>
      <c r="J374" t="inlineStr">
        <is>
          <t>0</t>
        </is>
      </c>
      <c r="K374" t="inlineStr">
        <is>
          <t>Thomas, George M.</t>
        </is>
      </c>
      <c r="L374" t="inlineStr">
        <is>
          <t>Chicago : University of Chicago Press, 1997.</t>
        </is>
      </c>
      <c r="M374" t="inlineStr">
        <is>
          <t>1997</t>
        </is>
      </c>
      <c r="N374" t="inlineStr">
        <is>
          <t>Pbk. ed.</t>
        </is>
      </c>
      <c r="O374" t="inlineStr">
        <is>
          <t>eng</t>
        </is>
      </c>
      <c r="P374" t="inlineStr">
        <is>
          <t>ilu</t>
        </is>
      </c>
      <c r="R374" t="inlineStr">
        <is>
          <t xml:space="preserve">BV </t>
        </is>
      </c>
      <c r="S374" t="n">
        <v>2</v>
      </c>
      <c r="T374" t="n">
        <v>2</v>
      </c>
      <c r="U374" t="inlineStr">
        <is>
          <t>2000-09-05</t>
        </is>
      </c>
      <c r="V374" t="inlineStr">
        <is>
          <t>2000-09-05</t>
        </is>
      </c>
      <c r="W374" t="inlineStr">
        <is>
          <t>1999-05-19</t>
        </is>
      </c>
      <c r="X374" t="inlineStr">
        <is>
          <t>1999-05-19</t>
        </is>
      </c>
      <c r="Y374" t="n">
        <v>19</v>
      </c>
      <c r="Z374" t="n">
        <v>17</v>
      </c>
      <c r="AA374" t="n">
        <v>503</v>
      </c>
      <c r="AB374" t="n">
        <v>1</v>
      </c>
      <c r="AC374" t="n">
        <v>3</v>
      </c>
      <c r="AD374" t="n">
        <v>1</v>
      </c>
      <c r="AE374" t="n">
        <v>25</v>
      </c>
      <c r="AF374" t="n">
        <v>0</v>
      </c>
      <c r="AG374" t="n">
        <v>9</v>
      </c>
      <c r="AH374" t="n">
        <v>0</v>
      </c>
      <c r="AI374" t="n">
        <v>7</v>
      </c>
      <c r="AJ374" t="n">
        <v>0</v>
      </c>
      <c r="AK374" t="n">
        <v>14</v>
      </c>
      <c r="AL374" t="n">
        <v>0</v>
      </c>
      <c r="AM374" t="n">
        <v>2</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HYPERLINK("https://creighton-primo.hosted.exlibrisgroup.com/primo-explore/search?tab=default_tab&amp;search_scope=EVERYTHING&amp;vid=01CRU&amp;lang=en_US&amp;offset=0&amp;query=any,contains,991003027259702656","Catalog Record")</f>
        <v/>
      </c>
      <c r="AT374">
        <f>HYPERLINK("http://www.worldcat.org/oclc/41392112","WorldCat Record")</f>
        <v/>
      </c>
      <c r="AU374" t="inlineStr">
        <is>
          <t>836756162:eng</t>
        </is>
      </c>
      <c r="AV374" t="inlineStr">
        <is>
          <t>41392112</t>
        </is>
      </c>
      <c r="AW374" t="inlineStr">
        <is>
          <t>991003027259702656</t>
        </is>
      </c>
      <c r="AX374" t="inlineStr">
        <is>
          <t>991003027259702656</t>
        </is>
      </c>
      <c r="AY374" t="inlineStr">
        <is>
          <t>2255963930002656</t>
        </is>
      </c>
      <c r="AZ374" t="inlineStr">
        <is>
          <t>BOOK</t>
        </is>
      </c>
      <c r="BB374" t="inlineStr">
        <is>
          <t>9780226795867</t>
        </is>
      </c>
      <c r="BC374" t="inlineStr">
        <is>
          <t>32285003571303</t>
        </is>
      </c>
      <c r="BD374" t="inlineStr">
        <is>
          <t>893352653</t>
        </is>
      </c>
    </row>
    <row r="375">
      <c r="A375" t="inlineStr">
        <is>
          <t>No</t>
        </is>
      </c>
      <c r="B375" t="inlineStr">
        <is>
          <t>BV3777.D6 O83 1970</t>
        </is>
      </c>
      <c r="C375" t="inlineStr">
        <is>
          <t>0                      BV 3777000D  6                  O  83          1970</t>
        </is>
      </c>
      <c r="D375" t="inlineStr">
        <is>
          <t>The Other revolution : the dramatic story of another revolution in the Dominican Republic / compiled by Juan M. Isais.</t>
        </is>
      </c>
      <c r="F375" t="inlineStr">
        <is>
          <t>No</t>
        </is>
      </c>
      <c r="G375" t="inlineStr">
        <is>
          <t>1</t>
        </is>
      </c>
      <c r="H375" t="inlineStr">
        <is>
          <t>No</t>
        </is>
      </c>
      <c r="I375" t="inlineStr">
        <is>
          <t>No</t>
        </is>
      </c>
      <c r="J375" t="inlineStr">
        <is>
          <t>0</t>
        </is>
      </c>
      <c r="L375" t="inlineStr">
        <is>
          <t>Waco, Tex. : Word Books, c1970.</t>
        </is>
      </c>
      <c r="M375" t="inlineStr">
        <is>
          <t>1970</t>
        </is>
      </c>
      <c r="O375" t="inlineStr">
        <is>
          <t>eng</t>
        </is>
      </c>
      <c r="P375" t="inlineStr">
        <is>
          <t>txu</t>
        </is>
      </c>
      <c r="R375" t="inlineStr">
        <is>
          <t xml:space="preserve">BV </t>
        </is>
      </c>
      <c r="S375" t="n">
        <v>1</v>
      </c>
      <c r="T375" t="n">
        <v>1</v>
      </c>
      <c r="U375" t="inlineStr">
        <is>
          <t>2001-08-23</t>
        </is>
      </c>
      <c r="V375" t="inlineStr">
        <is>
          <t>2001-08-23</t>
        </is>
      </c>
      <c r="W375" t="inlineStr">
        <is>
          <t>2001-08-23</t>
        </is>
      </c>
      <c r="X375" t="inlineStr">
        <is>
          <t>2001-08-23</t>
        </is>
      </c>
      <c r="Y375" t="n">
        <v>93</v>
      </c>
      <c r="Z375" t="n">
        <v>88</v>
      </c>
      <c r="AA375" t="n">
        <v>88</v>
      </c>
      <c r="AB375" t="n">
        <v>1</v>
      </c>
      <c r="AC375" t="n">
        <v>1</v>
      </c>
      <c r="AD375" t="n">
        <v>2</v>
      </c>
      <c r="AE375" t="n">
        <v>2</v>
      </c>
      <c r="AF375" t="n">
        <v>0</v>
      </c>
      <c r="AG375" t="n">
        <v>0</v>
      </c>
      <c r="AH375" t="n">
        <v>1</v>
      </c>
      <c r="AI375" t="n">
        <v>1</v>
      </c>
      <c r="AJ375" t="n">
        <v>2</v>
      </c>
      <c r="AK375" t="n">
        <v>2</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HYPERLINK("https://creighton-primo.hosted.exlibrisgroup.com/primo-explore/search?tab=default_tab&amp;search_scope=EVERYTHING&amp;vid=01CRU&amp;lang=en_US&amp;offset=0&amp;query=any,contains,991003594609702656","Catalog Record")</f>
        <v/>
      </c>
      <c r="AT375">
        <f>HYPERLINK("http://www.worldcat.org/oclc/125377","WorldCat Record")</f>
        <v/>
      </c>
      <c r="AU375" t="inlineStr">
        <is>
          <t>347294972:eng</t>
        </is>
      </c>
      <c r="AV375" t="inlineStr">
        <is>
          <t>125377</t>
        </is>
      </c>
      <c r="AW375" t="inlineStr">
        <is>
          <t>991003594609702656</t>
        </is>
      </c>
      <c r="AX375" t="inlineStr">
        <is>
          <t>991003594609702656</t>
        </is>
      </c>
      <c r="AY375" t="inlineStr">
        <is>
          <t>2260372820002656</t>
        </is>
      </c>
      <c r="AZ375" t="inlineStr">
        <is>
          <t>BOOK</t>
        </is>
      </c>
      <c r="BC375" t="inlineStr">
        <is>
          <t>32285004380589</t>
        </is>
      </c>
      <c r="BD375" t="inlineStr">
        <is>
          <t>893505744</t>
        </is>
      </c>
    </row>
    <row r="376">
      <c r="A376" t="inlineStr">
        <is>
          <t>No</t>
        </is>
      </c>
      <c r="B376" t="inlineStr">
        <is>
          <t>BV3777.L3 B6413 1991</t>
        </is>
      </c>
      <c r="C376" t="inlineStr">
        <is>
          <t>0                      BV 3777000L  3                  B  6413        1991</t>
        </is>
      </c>
      <c r="D376" t="inlineStr">
        <is>
          <t>New evangelization : good news to the poor / Leonardo Boff ; translated from the Portuguese by Robert R. Barr.</t>
        </is>
      </c>
      <c r="F376" t="inlineStr">
        <is>
          <t>No</t>
        </is>
      </c>
      <c r="G376" t="inlineStr">
        <is>
          <t>1</t>
        </is>
      </c>
      <c r="H376" t="inlineStr">
        <is>
          <t>No</t>
        </is>
      </c>
      <c r="I376" t="inlineStr">
        <is>
          <t>No</t>
        </is>
      </c>
      <c r="J376" t="inlineStr">
        <is>
          <t>0</t>
        </is>
      </c>
      <c r="K376" t="inlineStr">
        <is>
          <t>Boff, Leonardo.</t>
        </is>
      </c>
      <c r="L376" t="inlineStr">
        <is>
          <t>Maryknoll, N.Y. : Orbis Books, c1991.</t>
        </is>
      </c>
      <c r="M376" t="inlineStr">
        <is>
          <t>1991</t>
        </is>
      </c>
      <c r="O376" t="inlineStr">
        <is>
          <t>eng</t>
        </is>
      </c>
      <c r="P376" t="inlineStr">
        <is>
          <t>nyu</t>
        </is>
      </c>
      <c r="R376" t="inlineStr">
        <is>
          <t xml:space="preserve">BV </t>
        </is>
      </c>
      <c r="S376" t="n">
        <v>9</v>
      </c>
      <c r="T376" t="n">
        <v>9</v>
      </c>
      <c r="U376" t="inlineStr">
        <is>
          <t>2008-03-18</t>
        </is>
      </c>
      <c r="V376" t="inlineStr">
        <is>
          <t>2008-03-18</t>
        </is>
      </c>
      <c r="W376" t="inlineStr">
        <is>
          <t>1992-09-14</t>
        </is>
      </c>
      <c r="X376" t="inlineStr">
        <is>
          <t>1992-09-14</t>
        </is>
      </c>
      <c r="Y376" t="n">
        <v>275</v>
      </c>
      <c r="Z376" t="n">
        <v>233</v>
      </c>
      <c r="AA376" t="n">
        <v>261</v>
      </c>
      <c r="AB376" t="n">
        <v>1</v>
      </c>
      <c r="AC376" t="n">
        <v>1</v>
      </c>
      <c r="AD376" t="n">
        <v>18</v>
      </c>
      <c r="AE376" t="n">
        <v>20</v>
      </c>
      <c r="AF376" t="n">
        <v>6</v>
      </c>
      <c r="AG376" t="n">
        <v>7</v>
      </c>
      <c r="AH376" t="n">
        <v>5</v>
      </c>
      <c r="AI376" t="n">
        <v>6</v>
      </c>
      <c r="AJ376" t="n">
        <v>12</v>
      </c>
      <c r="AK376" t="n">
        <v>13</v>
      </c>
      <c r="AL376" t="n">
        <v>0</v>
      </c>
      <c r="AM376" t="n">
        <v>0</v>
      </c>
      <c r="AN376" t="n">
        <v>0</v>
      </c>
      <c r="AO376" t="n">
        <v>0</v>
      </c>
      <c r="AP376" t="inlineStr">
        <is>
          <t>No</t>
        </is>
      </c>
      <c r="AQ376" t="inlineStr">
        <is>
          <t>Yes</t>
        </is>
      </c>
      <c r="AR376">
        <f>HYPERLINK("http://catalog.hathitrust.org/Record/002555975","HathiTrust Record")</f>
        <v/>
      </c>
      <c r="AS376">
        <f>HYPERLINK("https://creighton-primo.hosted.exlibrisgroup.com/primo-explore/search?tab=default_tab&amp;search_scope=EVERYTHING&amp;vid=01CRU&amp;lang=en_US&amp;offset=0&amp;query=any,contains,991001920849702656","Catalog Record")</f>
        <v/>
      </c>
      <c r="AT376">
        <f>HYPERLINK("http://www.worldcat.org/oclc/24246692","WorldCat Record")</f>
        <v/>
      </c>
      <c r="AU376" t="inlineStr">
        <is>
          <t>2863508010:eng</t>
        </is>
      </c>
      <c r="AV376" t="inlineStr">
        <is>
          <t>24246692</t>
        </is>
      </c>
      <c r="AW376" t="inlineStr">
        <is>
          <t>991001920849702656</t>
        </is>
      </c>
      <c r="AX376" t="inlineStr">
        <is>
          <t>991001920849702656</t>
        </is>
      </c>
      <c r="AY376" t="inlineStr">
        <is>
          <t>2264176520002656</t>
        </is>
      </c>
      <c r="AZ376" t="inlineStr">
        <is>
          <t>BOOK</t>
        </is>
      </c>
      <c r="BB376" t="inlineStr">
        <is>
          <t>9780883447789</t>
        </is>
      </c>
      <c r="BC376" t="inlineStr">
        <is>
          <t>32285001287001</t>
        </is>
      </c>
      <c r="BD376" t="inlineStr">
        <is>
          <t>893516681</t>
        </is>
      </c>
    </row>
    <row r="377">
      <c r="A377" t="inlineStr">
        <is>
          <t>No</t>
        </is>
      </c>
      <c r="B377" t="inlineStr">
        <is>
          <t>BV3777.N56 E46 2004</t>
        </is>
      </c>
      <c r="C377" t="inlineStr">
        <is>
          <t>0                      BV 3777000N  56                 E  46          2004</t>
        </is>
      </c>
      <c r="D377" t="inlineStr">
        <is>
          <t>Embodying the Spirit : new perspectives on North American revivalism / edited by Michael J. McClymond.</t>
        </is>
      </c>
      <c r="F377" t="inlineStr">
        <is>
          <t>No</t>
        </is>
      </c>
      <c r="G377" t="inlineStr">
        <is>
          <t>1</t>
        </is>
      </c>
      <c r="H377" t="inlineStr">
        <is>
          <t>No</t>
        </is>
      </c>
      <c r="I377" t="inlineStr">
        <is>
          <t>No</t>
        </is>
      </c>
      <c r="J377" t="inlineStr">
        <is>
          <t>0</t>
        </is>
      </c>
      <c r="L377" t="inlineStr">
        <is>
          <t>Baltimore, Md. : Johns Hopkins University Press, 2004.</t>
        </is>
      </c>
      <c r="M377" t="inlineStr">
        <is>
          <t>2004</t>
        </is>
      </c>
      <c r="O377" t="inlineStr">
        <is>
          <t>eng</t>
        </is>
      </c>
      <c r="P377" t="inlineStr">
        <is>
          <t>mdu</t>
        </is>
      </c>
      <c r="R377" t="inlineStr">
        <is>
          <t xml:space="preserve">BV </t>
        </is>
      </c>
      <c r="S377" t="n">
        <v>3</v>
      </c>
      <c r="T377" t="n">
        <v>3</v>
      </c>
      <c r="U377" t="inlineStr">
        <is>
          <t>2004-09-23</t>
        </is>
      </c>
      <c r="V377" t="inlineStr">
        <is>
          <t>2004-09-23</t>
        </is>
      </c>
      <c r="W377" t="inlineStr">
        <is>
          <t>2004-09-23</t>
        </is>
      </c>
      <c r="X377" t="inlineStr">
        <is>
          <t>2004-09-23</t>
        </is>
      </c>
      <c r="Y377" t="n">
        <v>345</v>
      </c>
      <c r="Z377" t="n">
        <v>303</v>
      </c>
      <c r="AA377" t="n">
        <v>303</v>
      </c>
      <c r="AB377" t="n">
        <v>5</v>
      </c>
      <c r="AC377" t="n">
        <v>5</v>
      </c>
      <c r="AD377" t="n">
        <v>27</v>
      </c>
      <c r="AE377" t="n">
        <v>27</v>
      </c>
      <c r="AF377" t="n">
        <v>14</v>
      </c>
      <c r="AG377" t="n">
        <v>14</v>
      </c>
      <c r="AH377" t="n">
        <v>5</v>
      </c>
      <c r="AI377" t="n">
        <v>5</v>
      </c>
      <c r="AJ377" t="n">
        <v>11</v>
      </c>
      <c r="AK377" t="n">
        <v>11</v>
      </c>
      <c r="AL377" t="n">
        <v>4</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HYPERLINK("https://creighton-primo.hosted.exlibrisgroup.com/primo-explore/search?tab=default_tab&amp;search_scope=EVERYTHING&amp;vid=01CRU&amp;lang=en_US&amp;offset=0&amp;query=any,contains,991004358359702656","Catalog Record")</f>
        <v/>
      </c>
      <c r="AT377">
        <f>HYPERLINK("http://www.worldcat.org/oclc/52559101","WorldCat Record")</f>
        <v/>
      </c>
      <c r="AU377" t="inlineStr">
        <is>
          <t>1353791009:eng</t>
        </is>
      </c>
      <c r="AV377" t="inlineStr">
        <is>
          <t>52559101</t>
        </is>
      </c>
      <c r="AW377" t="inlineStr">
        <is>
          <t>991004358359702656</t>
        </is>
      </c>
      <c r="AX377" t="inlineStr">
        <is>
          <t>991004358359702656</t>
        </is>
      </c>
      <c r="AY377" t="inlineStr">
        <is>
          <t>2272430220002656</t>
        </is>
      </c>
      <c r="AZ377" t="inlineStr">
        <is>
          <t>BOOK</t>
        </is>
      </c>
      <c r="BB377" t="inlineStr">
        <is>
          <t>9780801878077</t>
        </is>
      </c>
      <c r="BC377" t="inlineStr">
        <is>
          <t>32285004988902</t>
        </is>
      </c>
      <c r="BD377" t="inlineStr">
        <is>
          <t>893446163</t>
        </is>
      </c>
    </row>
    <row r="378">
      <c r="A378" t="inlineStr">
        <is>
          <t>No</t>
        </is>
      </c>
      <c r="B378" t="inlineStr">
        <is>
          <t>BV3780 .M67 1973</t>
        </is>
      </c>
      <c r="C378" t="inlineStr">
        <is>
          <t>0                      BV 3780000M  67          1973</t>
        </is>
      </c>
      <c r="D378" t="inlineStr">
        <is>
          <t>The preachers / James Morris ; illus. by Tom Huffman.</t>
        </is>
      </c>
      <c r="F378" t="inlineStr">
        <is>
          <t>No</t>
        </is>
      </c>
      <c r="G378" t="inlineStr">
        <is>
          <t>1</t>
        </is>
      </c>
      <c r="H378" t="inlineStr">
        <is>
          <t>No</t>
        </is>
      </c>
      <c r="I378" t="inlineStr">
        <is>
          <t>No</t>
        </is>
      </c>
      <c r="J378" t="inlineStr">
        <is>
          <t>0</t>
        </is>
      </c>
      <c r="K378" t="inlineStr">
        <is>
          <t>Morris, Jan, 1926-</t>
        </is>
      </c>
      <c r="L378" t="inlineStr">
        <is>
          <t>New York : St. Martin's Press, [1973]</t>
        </is>
      </c>
      <c r="M378" t="inlineStr">
        <is>
          <t>1973</t>
        </is>
      </c>
      <c r="O378" t="inlineStr">
        <is>
          <t>eng</t>
        </is>
      </c>
      <c r="P378" t="inlineStr">
        <is>
          <t>nyu</t>
        </is>
      </c>
      <c r="R378" t="inlineStr">
        <is>
          <t xml:space="preserve">BV </t>
        </is>
      </c>
      <c r="S378" t="n">
        <v>4</v>
      </c>
      <c r="T378" t="n">
        <v>4</v>
      </c>
      <c r="U378" t="inlineStr">
        <is>
          <t>2000-08-23</t>
        </is>
      </c>
      <c r="V378" t="inlineStr">
        <is>
          <t>2000-08-23</t>
        </is>
      </c>
      <c r="W378" t="inlineStr">
        <is>
          <t>2000-08-21</t>
        </is>
      </c>
      <c r="X378" t="inlineStr">
        <is>
          <t>2000-08-21</t>
        </is>
      </c>
      <c r="Y378" t="n">
        <v>995</v>
      </c>
      <c r="Z378" t="n">
        <v>935</v>
      </c>
      <c r="AA378" t="n">
        <v>941</v>
      </c>
      <c r="AB378" t="n">
        <v>10</v>
      </c>
      <c r="AC378" t="n">
        <v>10</v>
      </c>
      <c r="AD378" t="n">
        <v>24</v>
      </c>
      <c r="AE378" t="n">
        <v>24</v>
      </c>
      <c r="AF378" t="n">
        <v>8</v>
      </c>
      <c r="AG378" t="n">
        <v>8</v>
      </c>
      <c r="AH378" t="n">
        <v>4</v>
      </c>
      <c r="AI378" t="n">
        <v>4</v>
      </c>
      <c r="AJ378" t="n">
        <v>13</v>
      </c>
      <c r="AK378" t="n">
        <v>13</v>
      </c>
      <c r="AL378" t="n">
        <v>6</v>
      </c>
      <c r="AM378" t="n">
        <v>6</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HYPERLINK("https://creighton-primo.hosted.exlibrisgroup.com/primo-explore/search?tab=default_tab&amp;search_scope=EVERYTHING&amp;vid=01CRU&amp;lang=en_US&amp;offset=0&amp;query=any,contains,991003269639702656","Catalog Record")</f>
        <v/>
      </c>
      <c r="AT378">
        <f>HYPERLINK("http://www.worldcat.org/oclc/704687","WorldCat Record")</f>
        <v/>
      </c>
      <c r="AU378" t="inlineStr">
        <is>
          <t>2044643042:eng</t>
        </is>
      </c>
      <c r="AV378" t="inlineStr">
        <is>
          <t>704687</t>
        </is>
      </c>
      <c r="AW378" t="inlineStr">
        <is>
          <t>991003269639702656</t>
        </is>
      </c>
      <c r="AX378" t="inlineStr">
        <is>
          <t>991003269639702656</t>
        </is>
      </c>
      <c r="AY378" t="inlineStr">
        <is>
          <t>2259165860002656</t>
        </is>
      </c>
      <c r="AZ378" t="inlineStr">
        <is>
          <t>BOOK</t>
        </is>
      </c>
      <c r="BC378" t="inlineStr">
        <is>
          <t>32285003758033</t>
        </is>
      </c>
      <c r="BD378" t="inlineStr">
        <is>
          <t>893227888</t>
        </is>
      </c>
    </row>
    <row r="379">
      <c r="A379" t="inlineStr">
        <is>
          <t>No</t>
        </is>
      </c>
      <c r="B379" t="inlineStr">
        <is>
          <t>BV3785.B3 B37 1988</t>
        </is>
      </c>
      <c r="C379" t="inlineStr">
        <is>
          <t>0                      BV 3785000B  3                  B  37          1988</t>
        </is>
      </c>
      <c r="D379" t="inlineStr">
        <is>
          <t>Jim and Tammy : charismatic intrigue inside PTL / by Joe E. Barnhart with Stephen Winzenburg.</t>
        </is>
      </c>
      <c r="F379" t="inlineStr">
        <is>
          <t>No</t>
        </is>
      </c>
      <c r="G379" t="inlineStr">
        <is>
          <t>1</t>
        </is>
      </c>
      <c r="H379" t="inlineStr">
        <is>
          <t>No</t>
        </is>
      </c>
      <c r="I379" t="inlineStr">
        <is>
          <t>No</t>
        </is>
      </c>
      <c r="J379" t="inlineStr">
        <is>
          <t>0</t>
        </is>
      </c>
      <c r="K379" t="inlineStr">
        <is>
          <t>Barnhart, Joe E., 1931-</t>
        </is>
      </c>
      <c r="L379" t="inlineStr">
        <is>
          <t>Buffalo, NY : Prometheus Books, 1988.</t>
        </is>
      </c>
      <c r="M379" t="inlineStr">
        <is>
          <t>1988</t>
        </is>
      </c>
      <c r="O379" t="inlineStr">
        <is>
          <t>eng</t>
        </is>
      </c>
      <c r="P379" t="inlineStr">
        <is>
          <t>nyu</t>
        </is>
      </c>
      <c r="R379" t="inlineStr">
        <is>
          <t xml:space="preserve">BV </t>
        </is>
      </c>
      <c r="S379" t="n">
        <v>4</v>
      </c>
      <c r="T379" t="n">
        <v>4</v>
      </c>
      <c r="U379" t="inlineStr">
        <is>
          <t>1999-02-25</t>
        </is>
      </c>
      <c r="V379" t="inlineStr">
        <is>
          <t>1999-02-25</t>
        </is>
      </c>
      <c r="W379" t="inlineStr">
        <is>
          <t>1990-04-20</t>
        </is>
      </c>
      <c r="X379" t="inlineStr">
        <is>
          <t>1990-04-20</t>
        </is>
      </c>
      <c r="Y379" t="n">
        <v>530</v>
      </c>
      <c r="Z379" t="n">
        <v>501</v>
      </c>
      <c r="AA379" t="n">
        <v>506</v>
      </c>
      <c r="AB379" t="n">
        <v>2</v>
      </c>
      <c r="AC379" t="n">
        <v>2</v>
      </c>
      <c r="AD379" t="n">
        <v>6</v>
      </c>
      <c r="AE379" t="n">
        <v>6</v>
      </c>
      <c r="AF379" t="n">
        <v>4</v>
      </c>
      <c r="AG379" t="n">
        <v>4</v>
      </c>
      <c r="AH379" t="n">
        <v>0</v>
      </c>
      <c r="AI379" t="n">
        <v>0</v>
      </c>
      <c r="AJ379" t="n">
        <v>3</v>
      </c>
      <c r="AK379" t="n">
        <v>3</v>
      </c>
      <c r="AL379" t="n">
        <v>0</v>
      </c>
      <c r="AM379" t="n">
        <v>0</v>
      </c>
      <c r="AN379" t="n">
        <v>0</v>
      </c>
      <c r="AO379" t="n">
        <v>0</v>
      </c>
      <c r="AP379" t="inlineStr">
        <is>
          <t>No</t>
        </is>
      </c>
      <c r="AQ379" t="inlineStr">
        <is>
          <t>Yes</t>
        </is>
      </c>
      <c r="AR379">
        <f>HYPERLINK("http://catalog.hathitrust.org/Record/006915125","HathiTrust Record")</f>
        <v/>
      </c>
      <c r="AS379">
        <f>HYPERLINK("https://creighton-primo.hosted.exlibrisgroup.com/primo-explore/search?tab=default_tab&amp;search_scope=EVERYTHING&amp;vid=01CRU&amp;lang=en_US&amp;offset=0&amp;query=any,contains,991001174749702656","Catalog Record")</f>
        <v/>
      </c>
      <c r="AT379">
        <f>HYPERLINK("http://www.worldcat.org/oclc/16985904","WorldCat Record")</f>
        <v/>
      </c>
      <c r="AU379" t="inlineStr">
        <is>
          <t>13912789:eng</t>
        </is>
      </c>
      <c r="AV379" t="inlineStr">
        <is>
          <t>16985904</t>
        </is>
      </c>
      <c r="AW379" t="inlineStr">
        <is>
          <t>991001174749702656</t>
        </is>
      </c>
      <c r="AX379" t="inlineStr">
        <is>
          <t>991001174749702656</t>
        </is>
      </c>
      <c r="AY379" t="inlineStr">
        <is>
          <t>2272073830002656</t>
        </is>
      </c>
      <c r="AZ379" t="inlineStr">
        <is>
          <t>BOOK</t>
        </is>
      </c>
      <c r="BB379" t="inlineStr">
        <is>
          <t>9780879754600</t>
        </is>
      </c>
      <c r="BC379" t="inlineStr">
        <is>
          <t>32285000123967</t>
        </is>
      </c>
      <c r="BD379" t="inlineStr">
        <is>
          <t>893256074</t>
        </is>
      </c>
    </row>
    <row r="380">
      <c r="A380" t="inlineStr">
        <is>
          <t>No</t>
        </is>
      </c>
      <c r="B380" t="inlineStr">
        <is>
          <t>BV3785.B3 M27 1988</t>
        </is>
      </c>
      <c r="C380" t="inlineStr">
        <is>
          <t>0                      BV 3785000B  3                  M  27          1988</t>
        </is>
      </c>
      <c r="D380" t="inlineStr">
        <is>
          <t>Ministry of greed : the inside story of the televangelists and their holy wars / by Larry Martz with Ginny Carroll.</t>
        </is>
      </c>
      <c r="F380" t="inlineStr">
        <is>
          <t>No</t>
        </is>
      </c>
      <c r="G380" t="inlineStr">
        <is>
          <t>1</t>
        </is>
      </c>
      <c r="H380" t="inlineStr">
        <is>
          <t>No</t>
        </is>
      </c>
      <c r="I380" t="inlineStr">
        <is>
          <t>No</t>
        </is>
      </c>
      <c r="J380" t="inlineStr">
        <is>
          <t>0</t>
        </is>
      </c>
      <c r="K380" t="inlineStr">
        <is>
          <t>Martz, Larry.</t>
        </is>
      </c>
      <c r="L380" t="inlineStr">
        <is>
          <t>New York : Weidenfeld &amp; Nicolson, c1988.</t>
        </is>
      </c>
      <c r="M380" t="inlineStr">
        <is>
          <t>1988</t>
        </is>
      </c>
      <c r="N380" t="inlineStr">
        <is>
          <t>1st ed.</t>
        </is>
      </c>
      <c r="O380" t="inlineStr">
        <is>
          <t>eng</t>
        </is>
      </c>
      <c r="P380" t="inlineStr">
        <is>
          <t>nyu</t>
        </is>
      </c>
      <c r="Q380" t="inlineStr">
        <is>
          <t>A Newsweek book</t>
        </is>
      </c>
      <c r="R380" t="inlineStr">
        <is>
          <t xml:space="preserve">BV </t>
        </is>
      </c>
      <c r="S380" t="n">
        <v>6</v>
      </c>
      <c r="T380" t="n">
        <v>6</v>
      </c>
      <c r="U380" t="inlineStr">
        <is>
          <t>1999-02-25</t>
        </is>
      </c>
      <c r="V380" t="inlineStr">
        <is>
          <t>1999-02-25</t>
        </is>
      </c>
      <c r="W380" t="inlineStr">
        <is>
          <t>1992-02-19</t>
        </is>
      </c>
      <c r="X380" t="inlineStr">
        <is>
          <t>1992-02-19</t>
        </is>
      </c>
      <c r="Y380" t="n">
        <v>830</v>
      </c>
      <c r="Z380" t="n">
        <v>785</v>
      </c>
      <c r="AA380" t="n">
        <v>792</v>
      </c>
      <c r="AB380" t="n">
        <v>3</v>
      </c>
      <c r="AC380" t="n">
        <v>3</v>
      </c>
      <c r="AD380" t="n">
        <v>13</v>
      </c>
      <c r="AE380" t="n">
        <v>13</v>
      </c>
      <c r="AF380" t="n">
        <v>8</v>
      </c>
      <c r="AG380" t="n">
        <v>8</v>
      </c>
      <c r="AH380" t="n">
        <v>0</v>
      </c>
      <c r="AI380" t="n">
        <v>0</v>
      </c>
      <c r="AJ380" t="n">
        <v>7</v>
      </c>
      <c r="AK380" t="n">
        <v>7</v>
      </c>
      <c r="AL380" t="n">
        <v>1</v>
      </c>
      <c r="AM380" t="n">
        <v>1</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HYPERLINK("https://creighton-primo.hosted.exlibrisgroup.com/primo-explore/search?tab=default_tab&amp;search_scope=EVERYTHING&amp;vid=01CRU&amp;lang=en_US&amp;offset=0&amp;query=any,contains,991001275059702656","Catalog Record")</f>
        <v/>
      </c>
      <c r="AT380">
        <f>HYPERLINK("http://www.worldcat.org/oclc/17873187","WorldCat Record")</f>
        <v/>
      </c>
      <c r="AU380" t="inlineStr">
        <is>
          <t>889889433:eng</t>
        </is>
      </c>
      <c r="AV380" t="inlineStr">
        <is>
          <t>17873187</t>
        </is>
      </c>
      <c r="AW380" t="inlineStr">
        <is>
          <t>991001275059702656</t>
        </is>
      </c>
      <c r="AX380" t="inlineStr">
        <is>
          <t>991001275059702656</t>
        </is>
      </c>
      <c r="AY380" t="inlineStr">
        <is>
          <t>2269581690002656</t>
        </is>
      </c>
      <c r="AZ380" t="inlineStr">
        <is>
          <t>BOOK</t>
        </is>
      </c>
      <c r="BB380" t="inlineStr">
        <is>
          <t>9781555842161</t>
        </is>
      </c>
      <c r="BC380" t="inlineStr">
        <is>
          <t>32285000981422</t>
        </is>
      </c>
      <c r="BD380" t="inlineStr">
        <is>
          <t>893602486</t>
        </is>
      </c>
    </row>
    <row r="381">
      <c r="A381" t="inlineStr">
        <is>
          <t>No</t>
        </is>
      </c>
      <c r="B381" t="inlineStr">
        <is>
          <t>BV3785.B3 S48 1989</t>
        </is>
      </c>
      <c r="C381" t="inlineStr">
        <is>
          <t>0                      BV 3785000B  3                  S  48          1989</t>
        </is>
      </c>
      <c r="D381" t="inlineStr">
        <is>
          <t>Forgiven : the rise and fall of Jim Bakker and the PTL ministry / Charles E. Shepard.</t>
        </is>
      </c>
      <c r="F381" t="inlineStr">
        <is>
          <t>No</t>
        </is>
      </c>
      <c r="G381" t="inlineStr">
        <is>
          <t>1</t>
        </is>
      </c>
      <c r="H381" t="inlineStr">
        <is>
          <t>No</t>
        </is>
      </c>
      <c r="I381" t="inlineStr">
        <is>
          <t>No</t>
        </is>
      </c>
      <c r="J381" t="inlineStr">
        <is>
          <t>0</t>
        </is>
      </c>
      <c r="K381" t="inlineStr">
        <is>
          <t>Shepard, Charles E.</t>
        </is>
      </c>
      <c r="L381" t="inlineStr">
        <is>
          <t>New York, NY : Atlantic Monthly Press, c1989.</t>
        </is>
      </c>
      <c r="M381" t="inlineStr">
        <is>
          <t>1989</t>
        </is>
      </c>
      <c r="N381" t="inlineStr">
        <is>
          <t>1st ed.</t>
        </is>
      </c>
      <c r="O381" t="inlineStr">
        <is>
          <t>eng</t>
        </is>
      </c>
      <c r="P381" t="inlineStr">
        <is>
          <t>nyu</t>
        </is>
      </c>
      <c r="R381" t="inlineStr">
        <is>
          <t xml:space="preserve">BV </t>
        </is>
      </c>
      <c r="S381" t="n">
        <v>5</v>
      </c>
      <c r="T381" t="n">
        <v>5</v>
      </c>
      <c r="U381" t="inlineStr">
        <is>
          <t>1999-02-25</t>
        </is>
      </c>
      <c r="V381" t="inlineStr">
        <is>
          <t>1999-02-25</t>
        </is>
      </c>
      <c r="W381" t="inlineStr">
        <is>
          <t>1989-12-05</t>
        </is>
      </c>
      <c r="X381" t="inlineStr">
        <is>
          <t>1989-12-05</t>
        </is>
      </c>
      <c r="Y381" t="n">
        <v>1180</v>
      </c>
      <c r="Z381" t="n">
        <v>1120</v>
      </c>
      <c r="AA381" t="n">
        <v>1155</v>
      </c>
      <c r="AB381" t="n">
        <v>4</v>
      </c>
      <c r="AC381" t="n">
        <v>4</v>
      </c>
      <c r="AD381" t="n">
        <v>17</v>
      </c>
      <c r="AE381" t="n">
        <v>20</v>
      </c>
      <c r="AF381" t="n">
        <v>9</v>
      </c>
      <c r="AG381" t="n">
        <v>10</v>
      </c>
      <c r="AH381" t="n">
        <v>2</v>
      </c>
      <c r="AI381" t="n">
        <v>2</v>
      </c>
      <c r="AJ381" t="n">
        <v>7</v>
      </c>
      <c r="AK381" t="n">
        <v>9</v>
      </c>
      <c r="AL381" t="n">
        <v>1</v>
      </c>
      <c r="AM381" t="n">
        <v>1</v>
      </c>
      <c r="AN381" t="n">
        <v>1</v>
      </c>
      <c r="AO381" t="n">
        <v>1</v>
      </c>
      <c r="AP381" t="inlineStr">
        <is>
          <t>No</t>
        </is>
      </c>
      <c r="AQ381" t="inlineStr">
        <is>
          <t>No</t>
        </is>
      </c>
      <c r="AS381">
        <f>HYPERLINK("https://creighton-primo.hosted.exlibrisgroup.com/primo-explore/search?tab=default_tab&amp;search_scope=EVERYTHING&amp;vid=01CRU&amp;lang=en_US&amp;offset=0&amp;query=any,contains,991001495169702656","Catalog Record")</f>
        <v/>
      </c>
      <c r="AT381">
        <f>HYPERLINK("http://www.worldcat.org/oclc/19742635","WorldCat Record")</f>
        <v/>
      </c>
      <c r="AU381" t="inlineStr">
        <is>
          <t>21843789:eng</t>
        </is>
      </c>
      <c r="AV381" t="inlineStr">
        <is>
          <t>19742635</t>
        </is>
      </c>
      <c r="AW381" t="inlineStr">
        <is>
          <t>991001495169702656</t>
        </is>
      </c>
      <c r="AX381" t="inlineStr">
        <is>
          <t>991001495169702656</t>
        </is>
      </c>
      <c r="AY381" t="inlineStr">
        <is>
          <t>2265554840002656</t>
        </is>
      </c>
      <c r="AZ381" t="inlineStr">
        <is>
          <t>BOOK</t>
        </is>
      </c>
      <c r="BB381" t="inlineStr">
        <is>
          <t>9780871132932</t>
        </is>
      </c>
      <c r="BC381" t="inlineStr">
        <is>
          <t>32285000017391</t>
        </is>
      </c>
      <c r="BD381" t="inlineStr">
        <is>
          <t>893256281</t>
        </is>
      </c>
    </row>
    <row r="382">
      <c r="A382" t="inlineStr">
        <is>
          <t>No</t>
        </is>
      </c>
      <c r="B382" t="inlineStr">
        <is>
          <t>BV3785.G69 A3 1997</t>
        </is>
      </c>
      <c r="C382" t="inlineStr">
        <is>
          <t>0                      BV 3785000G  69                 A  3           1997</t>
        </is>
      </c>
      <c r="D382" t="inlineStr">
        <is>
          <t>Just as I am : the autobiography of Billy Graham / Billy Graham.</t>
        </is>
      </c>
      <c r="F382" t="inlineStr">
        <is>
          <t>No</t>
        </is>
      </c>
      <c r="G382" t="inlineStr">
        <is>
          <t>1</t>
        </is>
      </c>
      <c r="H382" t="inlineStr">
        <is>
          <t>No</t>
        </is>
      </c>
      <c r="I382" t="inlineStr">
        <is>
          <t>No</t>
        </is>
      </c>
      <c r="J382" t="inlineStr">
        <is>
          <t>0</t>
        </is>
      </c>
      <c r="K382" t="inlineStr">
        <is>
          <t>Graham, Billy, 1918-2018.</t>
        </is>
      </c>
      <c r="L382" t="inlineStr">
        <is>
          <t>[San Francisco, Calif.] : HarperSanFrancisco ; [Grand Rapids, Mich.] : Zondervan, c1997.</t>
        </is>
      </c>
      <c r="M382" t="inlineStr">
        <is>
          <t>1997</t>
        </is>
      </c>
      <c r="N382" t="inlineStr">
        <is>
          <t>1st ed.</t>
        </is>
      </c>
      <c r="O382" t="inlineStr">
        <is>
          <t>eng</t>
        </is>
      </c>
      <c r="P382" t="inlineStr">
        <is>
          <t>cau</t>
        </is>
      </c>
      <c r="R382" t="inlineStr">
        <is>
          <t xml:space="preserve">BV </t>
        </is>
      </c>
      <c r="S382" t="n">
        <v>7</v>
      </c>
      <c r="T382" t="n">
        <v>7</v>
      </c>
      <c r="U382" t="inlineStr">
        <is>
          <t>2006-10-26</t>
        </is>
      </c>
      <c r="V382" t="inlineStr">
        <is>
          <t>2006-10-26</t>
        </is>
      </c>
      <c r="W382" t="inlineStr">
        <is>
          <t>1997-07-08</t>
        </is>
      </c>
      <c r="X382" t="inlineStr">
        <is>
          <t>1997-07-08</t>
        </is>
      </c>
      <c r="Y382" t="n">
        <v>2905</v>
      </c>
      <c r="Z382" t="n">
        <v>2824</v>
      </c>
      <c r="AA382" t="n">
        <v>3085</v>
      </c>
      <c r="AB382" t="n">
        <v>32</v>
      </c>
      <c r="AC382" t="n">
        <v>33</v>
      </c>
      <c r="AD382" t="n">
        <v>36</v>
      </c>
      <c r="AE382" t="n">
        <v>38</v>
      </c>
      <c r="AF382" t="n">
        <v>14</v>
      </c>
      <c r="AG382" t="n">
        <v>15</v>
      </c>
      <c r="AH382" t="n">
        <v>6</v>
      </c>
      <c r="AI382" t="n">
        <v>6</v>
      </c>
      <c r="AJ382" t="n">
        <v>14</v>
      </c>
      <c r="AK382" t="n">
        <v>16</v>
      </c>
      <c r="AL382" t="n">
        <v>8</v>
      </c>
      <c r="AM382" t="n">
        <v>8</v>
      </c>
      <c r="AN382" t="n">
        <v>0</v>
      </c>
      <c r="AO382" t="n">
        <v>0</v>
      </c>
      <c r="AP382" t="inlineStr">
        <is>
          <t>No</t>
        </is>
      </c>
      <c r="AQ382" t="inlineStr">
        <is>
          <t>Yes</t>
        </is>
      </c>
      <c r="AR382">
        <f>HYPERLINK("http://catalog.hathitrust.org/Record/003970024","HathiTrust Record")</f>
        <v/>
      </c>
      <c r="AS382">
        <f>HYPERLINK("https://creighton-primo.hosted.exlibrisgroup.com/primo-explore/search?tab=default_tab&amp;search_scope=EVERYTHING&amp;vid=01CRU&amp;lang=en_US&amp;offset=0&amp;query=any,contains,991002761689702656","Catalog Record")</f>
        <v/>
      </c>
      <c r="AT382">
        <f>HYPERLINK("http://www.worldcat.org/oclc/36225259","WorldCat Record")</f>
        <v/>
      </c>
      <c r="AU382" t="inlineStr">
        <is>
          <t>587872:eng</t>
        </is>
      </c>
      <c r="AV382" t="inlineStr">
        <is>
          <t>36225259</t>
        </is>
      </c>
      <c r="AW382" t="inlineStr">
        <is>
          <t>991002761689702656</t>
        </is>
      </c>
      <c r="AX382" t="inlineStr">
        <is>
          <t>991002761689702656</t>
        </is>
      </c>
      <c r="AY382" t="inlineStr">
        <is>
          <t>2272527460002656</t>
        </is>
      </c>
      <c r="AZ382" t="inlineStr">
        <is>
          <t>BOOK</t>
        </is>
      </c>
      <c r="BB382" t="inlineStr">
        <is>
          <t>9780060633431</t>
        </is>
      </c>
      <c r="BC382" t="inlineStr">
        <is>
          <t>32285002880887</t>
        </is>
      </c>
      <c r="BD382" t="inlineStr">
        <is>
          <t>893535181</t>
        </is>
      </c>
    </row>
    <row r="383">
      <c r="A383" t="inlineStr">
        <is>
          <t>No</t>
        </is>
      </c>
      <c r="B383" t="inlineStr">
        <is>
          <t>BV3785.H348 H3 1973</t>
        </is>
      </c>
      <c r="C383" t="inlineStr">
        <is>
          <t>0                      BV 3785000H  348                H  3           1973</t>
        </is>
      </c>
      <c r="D383" t="inlineStr">
        <is>
          <t>The prophet Harris : a study of an African prophet and his mass-movement in the Ivory Coast and the Gold Coast, 1913-1915 / Gordon Mackay Haliburton.</t>
        </is>
      </c>
      <c r="F383" t="inlineStr">
        <is>
          <t>No</t>
        </is>
      </c>
      <c r="G383" t="inlineStr">
        <is>
          <t>1</t>
        </is>
      </c>
      <c r="H383" t="inlineStr">
        <is>
          <t>No</t>
        </is>
      </c>
      <c r="I383" t="inlineStr">
        <is>
          <t>No</t>
        </is>
      </c>
      <c r="J383" t="inlineStr">
        <is>
          <t>0</t>
        </is>
      </c>
      <c r="K383" t="inlineStr">
        <is>
          <t>Haliburton, Gordon MacKay.</t>
        </is>
      </c>
      <c r="L383" t="inlineStr">
        <is>
          <t>New York, Oxford University Press, 1973.</t>
        </is>
      </c>
      <c r="M383" t="inlineStr">
        <is>
          <t>1973</t>
        </is>
      </c>
      <c r="O383" t="inlineStr">
        <is>
          <t>eng</t>
        </is>
      </c>
      <c r="P383" t="inlineStr">
        <is>
          <t>nyu</t>
        </is>
      </c>
      <c r="R383" t="inlineStr">
        <is>
          <t xml:space="preserve">BV </t>
        </is>
      </c>
      <c r="S383" t="n">
        <v>1</v>
      </c>
      <c r="T383" t="n">
        <v>1</v>
      </c>
      <c r="U383" t="inlineStr">
        <is>
          <t>1992-03-23</t>
        </is>
      </c>
      <c r="V383" t="inlineStr">
        <is>
          <t>1992-03-23</t>
        </is>
      </c>
      <c r="W383" t="inlineStr">
        <is>
          <t>1992-02-19</t>
        </is>
      </c>
      <c r="X383" t="inlineStr">
        <is>
          <t>1992-02-19</t>
        </is>
      </c>
      <c r="Y383" t="n">
        <v>362</v>
      </c>
      <c r="Z383" t="n">
        <v>342</v>
      </c>
      <c r="AA383" t="n">
        <v>445</v>
      </c>
      <c r="AB383" t="n">
        <v>3</v>
      </c>
      <c r="AC383" t="n">
        <v>3</v>
      </c>
      <c r="AD383" t="n">
        <v>17</v>
      </c>
      <c r="AE383" t="n">
        <v>19</v>
      </c>
      <c r="AF383" t="n">
        <v>5</v>
      </c>
      <c r="AG383" t="n">
        <v>5</v>
      </c>
      <c r="AH383" t="n">
        <v>5</v>
      </c>
      <c r="AI383" t="n">
        <v>6</v>
      </c>
      <c r="AJ383" t="n">
        <v>10</v>
      </c>
      <c r="AK383" t="n">
        <v>12</v>
      </c>
      <c r="AL383" t="n">
        <v>2</v>
      </c>
      <c r="AM383" t="n">
        <v>2</v>
      </c>
      <c r="AN383" t="n">
        <v>0</v>
      </c>
      <c r="AO383" t="n">
        <v>0</v>
      </c>
      <c r="AP383" t="inlineStr">
        <is>
          <t>No</t>
        </is>
      </c>
      <c r="AQ383" t="inlineStr">
        <is>
          <t>Yes</t>
        </is>
      </c>
      <c r="AR383">
        <f>HYPERLINK("http://catalog.hathitrust.org/Record/009906988","HathiTrust Record")</f>
        <v/>
      </c>
      <c r="AS383">
        <f>HYPERLINK("https://creighton-primo.hosted.exlibrisgroup.com/primo-explore/search?tab=default_tab&amp;search_scope=EVERYTHING&amp;vid=01CRU&amp;lang=en_US&amp;offset=0&amp;query=any,contains,991003092149702656","Catalog Record")</f>
        <v/>
      </c>
      <c r="AT383">
        <f>HYPERLINK("http://www.worldcat.org/oclc/642243","WorldCat Record")</f>
        <v/>
      </c>
      <c r="AU383" t="inlineStr">
        <is>
          <t>919240627:eng</t>
        </is>
      </c>
      <c r="AV383" t="inlineStr">
        <is>
          <t>642243</t>
        </is>
      </c>
      <c r="AW383" t="inlineStr">
        <is>
          <t>991003092149702656</t>
        </is>
      </c>
      <c r="AX383" t="inlineStr">
        <is>
          <t>991003092149702656</t>
        </is>
      </c>
      <c r="AY383" t="inlineStr">
        <is>
          <t>2262303500002656</t>
        </is>
      </c>
      <c r="AZ383" t="inlineStr">
        <is>
          <t>BOOK</t>
        </is>
      </c>
      <c r="BB383" t="inlineStr">
        <is>
          <t>9780195016260</t>
        </is>
      </c>
      <c r="BC383" t="inlineStr">
        <is>
          <t>32285000929355</t>
        </is>
      </c>
      <c r="BD383" t="inlineStr">
        <is>
          <t>893698663</t>
        </is>
      </c>
    </row>
    <row r="384">
      <c r="A384" t="inlineStr">
        <is>
          <t>No</t>
        </is>
      </c>
      <c r="B384" t="inlineStr">
        <is>
          <t>BV3785.R595 B67 1996</t>
        </is>
      </c>
      <c r="C384" t="inlineStr">
        <is>
          <t>0                      BV 3785000R  595                B  67          1996</t>
        </is>
      </c>
      <c r="D384" t="inlineStr">
        <is>
          <t>The most dangerous man in America? : Pat Robertson and the rise of the Christian Coalition / Robert Boston.</t>
        </is>
      </c>
      <c r="F384" t="inlineStr">
        <is>
          <t>No</t>
        </is>
      </c>
      <c r="G384" t="inlineStr">
        <is>
          <t>1</t>
        </is>
      </c>
      <c r="H384" t="inlineStr">
        <is>
          <t>No</t>
        </is>
      </c>
      <c r="I384" t="inlineStr">
        <is>
          <t>No</t>
        </is>
      </c>
      <c r="J384" t="inlineStr">
        <is>
          <t>0</t>
        </is>
      </c>
      <c r="K384" t="inlineStr">
        <is>
          <t>Boston, Rob, 1962-</t>
        </is>
      </c>
      <c r="L384" t="inlineStr">
        <is>
          <t>Amherst, N.Y. : Prometheus Books, 1996.</t>
        </is>
      </c>
      <c r="M384" t="inlineStr">
        <is>
          <t>1996</t>
        </is>
      </c>
      <c r="O384" t="inlineStr">
        <is>
          <t>eng</t>
        </is>
      </c>
      <c r="P384" t="inlineStr">
        <is>
          <t>nyu</t>
        </is>
      </c>
      <c r="R384" t="inlineStr">
        <is>
          <t xml:space="preserve">BV </t>
        </is>
      </c>
      <c r="S384" t="n">
        <v>1</v>
      </c>
      <c r="T384" t="n">
        <v>1</v>
      </c>
      <c r="U384" t="inlineStr">
        <is>
          <t>2005-04-13</t>
        </is>
      </c>
      <c r="V384" t="inlineStr">
        <is>
          <t>2005-04-13</t>
        </is>
      </c>
      <c r="W384" t="inlineStr">
        <is>
          <t>1996-05-21</t>
        </is>
      </c>
      <c r="X384" t="inlineStr">
        <is>
          <t>1996-05-21</t>
        </is>
      </c>
      <c r="Y384" t="n">
        <v>563</v>
      </c>
      <c r="Z384" t="n">
        <v>528</v>
      </c>
      <c r="AA384" t="n">
        <v>533</v>
      </c>
      <c r="AB384" t="n">
        <v>4</v>
      </c>
      <c r="AC384" t="n">
        <v>4</v>
      </c>
      <c r="AD384" t="n">
        <v>15</v>
      </c>
      <c r="AE384" t="n">
        <v>15</v>
      </c>
      <c r="AF384" t="n">
        <v>3</v>
      </c>
      <c r="AG384" t="n">
        <v>3</v>
      </c>
      <c r="AH384" t="n">
        <v>4</v>
      </c>
      <c r="AI384" t="n">
        <v>4</v>
      </c>
      <c r="AJ384" t="n">
        <v>5</v>
      </c>
      <c r="AK384" t="n">
        <v>5</v>
      </c>
      <c r="AL384" t="n">
        <v>2</v>
      </c>
      <c r="AM384" t="n">
        <v>2</v>
      </c>
      <c r="AN384" t="n">
        <v>3</v>
      </c>
      <c r="AO384" t="n">
        <v>3</v>
      </c>
      <c r="AP384" t="inlineStr">
        <is>
          <t>No</t>
        </is>
      </c>
      <c r="AQ384" t="inlineStr">
        <is>
          <t>No</t>
        </is>
      </c>
      <c r="AS384">
        <f>HYPERLINK("https://creighton-primo.hosted.exlibrisgroup.com/primo-explore/search?tab=default_tab&amp;search_scope=EVERYTHING&amp;vid=01CRU&amp;lang=en_US&amp;offset=0&amp;query=any,contains,991002601979702656","Catalog Record")</f>
        <v/>
      </c>
      <c r="AT384">
        <f>HYPERLINK("http://www.worldcat.org/oclc/34079082","WorldCat Record")</f>
        <v/>
      </c>
      <c r="AU384" t="inlineStr">
        <is>
          <t>889660760:eng</t>
        </is>
      </c>
      <c r="AV384" t="inlineStr">
        <is>
          <t>34079082</t>
        </is>
      </c>
      <c r="AW384" t="inlineStr">
        <is>
          <t>991002601979702656</t>
        </is>
      </c>
      <c r="AX384" t="inlineStr">
        <is>
          <t>991002601979702656</t>
        </is>
      </c>
      <c r="AY384" t="inlineStr">
        <is>
          <t>2268856790002656</t>
        </is>
      </c>
      <c r="AZ384" t="inlineStr">
        <is>
          <t>BOOK</t>
        </is>
      </c>
      <c r="BB384" t="inlineStr">
        <is>
          <t>9781573920537</t>
        </is>
      </c>
      <c r="BC384" t="inlineStr">
        <is>
          <t>32285002176021</t>
        </is>
      </c>
      <c r="BD384" t="inlineStr">
        <is>
          <t>893792660</t>
        </is>
      </c>
    </row>
    <row r="385">
      <c r="A385" t="inlineStr">
        <is>
          <t>No</t>
        </is>
      </c>
      <c r="B385" t="inlineStr">
        <is>
          <t>BV3785.R595 F64 1996</t>
        </is>
      </c>
      <c r="C385" t="inlineStr">
        <is>
          <t>0                      BV 3785000R  595                F  64          1996</t>
        </is>
      </c>
      <c r="D385" t="inlineStr">
        <is>
          <t>The empire God built : inside Pat Robertson's media machine / Alec Foege.</t>
        </is>
      </c>
      <c r="F385" t="inlineStr">
        <is>
          <t>No</t>
        </is>
      </c>
      <c r="G385" t="inlineStr">
        <is>
          <t>1</t>
        </is>
      </c>
      <c r="H385" t="inlineStr">
        <is>
          <t>No</t>
        </is>
      </c>
      <c r="I385" t="inlineStr">
        <is>
          <t>No</t>
        </is>
      </c>
      <c r="J385" t="inlineStr">
        <is>
          <t>0</t>
        </is>
      </c>
      <c r="K385" t="inlineStr">
        <is>
          <t>Foege, Alec.</t>
        </is>
      </c>
      <c r="L385" t="inlineStr">
        <is>
          <t>New York : John Wiley &amp; Sons, c1996.</t>
        </is>
      </c>
      <c r="M385" t="inlineStr">
        <is>
          <t>1996</t>
        </is>
      </c>
      <c r="O385" t="inlineStr">
        <is>
          <t>eng</t>
        </is>
      </c>
      <c r="P385" t="inlineStr">
        <is>
          <t>nyu</t>
        </is>
      </c>
      <c r="R385" t="inlineStr">
        <is>
          <t xml:space="preserve">BV </t>
        </is>
      </c>
      <c r="S385" t="n">
        <v>1</v>
      </c>
      <c r="T385" t="n">
        <v>1</v>
      </c>
      <c r="U385" t="inlineStr">
        <is>
          <t>2004-10-15</t>
        </is>
      </c>
      <c r="V385" t="inlineStr">
        <is>
          <t>2004-10-15</t>
        </is>
      </c>
      <c r="W385" t="inlineStr">
        <is>
          <t>1997-04-28</t>
        </is>
      </c>
      <c r="X385" t="inlineStr">
        <is>
          <t>1997-04-28</t>
        </is>
      </c>
      <c r="Y385" t="n">
        <v>413</v>
      </c>
      <c r="Z385" t="n">
        <v>370</v>
      </c>
      <c r="AA385" t="n">
        <v>372</v>
      </c>
      <c r="AB385" t="n">
        <v>5</v>
      </c>
      <c r="AC385" t="n">
        <v>5</v>
      </c>
      <c r="AD385" t="n">
        <v>13</v>
      </c>
      <c r="AE385" t="n">
        <v>13</v>
      </c>
      <c r="AF385" t="n">
        <v>3</v>
      </c>
      <c r="AG385" t="n">
        <v>3</v>
      </c>
      <c r="AH385" t="n">
        <v>1</v>
      </c>
      <c r="AI385" t="n">
        <v>1</v>
      </c>
      <c r="AJ385" t="n">
        <v>10</v>
      </c>
      <c r="AK385" t="n">
        <v>10</v>
      </c>
      <c r="AL385" t="n">
        <v>2</v>
      </c>
      <c r="AM385" t="n">
        <v>2</v>
      </c>
      <c r="AN385" t="n">
        <v>0</v>
      </c>
      <c r="AO385" t="n">
        <v>0</v>
      </c>
      <c r="AP385" t="inlineStr">
        <is>
          <t>No</t>
        </is>
      </c>
      <c r="AQ385" t="inlineStr">
        <is>
          <t>Yes</t>
        </is>
      </c>
      <c r="AR385">
        <f>HYPERLINK("http://catalog.hathitrust.org/Record/003099947","HathiTrust Record")</f>
        <v/>
      </c>
      <c r="AS385">
        <f>HYPERLINK("https://creighton-primo.hosted.exlibrisgroup.com/primo-explore/search?tab=default_tab&amp;search_scope=EVERYTHING&amp;vid=01CRU&amp;lang=en_US&amp;offset=0&amp;query=any,contains,991002696089702656","Catalog Record")</f>
        <v/>
      </c>
      <c r="AT385">
        <f>HYPERLINK("http://www.worldcat.org/oclc/35198710","WorldCat Record")</f>
        <v/>
      </c>
      <c r="AU385" t="inlineStr">
        <is>
          <t>20950640:eng</t>
        </is>
      </c>
      <c r="AV385" t="inlineStr">
        <is>
          <t>35198710</t>
        </is>
      </c>
      <c r="AW385" t="inlineStr">
        <is>
          <t>991002696089702656</t>
        </is>
      </c>
      <c r="AX385" t="inlineStr">
        <is>
          <t>991002696089702656</t>
        </is>
      </c>
      <c r="AY385" t="inlineStr">
        <is>
          <t>2260363030002656</t>
        </is>
      </c>
      <c r="AZ385" t="inlineStr">
        <is>
          <t>BOOK</t>
        </is>
      </c>
      <c r="BB385" t="inlineStr">
        <is>
          <t>9780471159933</t>
        </is>
      </c>
      <c r="BC385" t="inlineStr">
        <is>
          <t>32285002541091</t>
        </is>
      </c>
      <c r="BD385" t="inlineStr">
        <is>
          <t>893873875</t>
        </is>
      </c>
    </row>
    <row r="386">
      <c r="A386" t="inlineStr">
        <is>
          <t>No</t>
        </is>
      </c>
      <c r="B386" t="inlineStr">
        <is>
          <t>BV3790 .C37 1989</t>
        </is>
      </c>
      <c r="C386" t="inlineStr">
        <is>
          <t>0                      BV 3790000C  37          1989</t>
        </is>
      </c>
      <c r="D386" t="inlineStr">
        <is>
          <t>Evangelization in the culture and society of the United States and the bishop as teacher of the faith : meeting of His Holiness John Paul II with the Archbishops of the United States, March 8-11, 1989.</t>
        </is>
      </c>
      <c r="F386" t="inlineStr">
        <is>
          <t>No</t>
        </is>
      </c>
      <c r="G386" t="inlineStr">
        <is>
          <t>1</t>
        </is>
      </c>
      <c r="H386" t="inlineStr">
        <is>
          <t>No</t>
        </is>
      </c>
      <c r="I386" t="inlineStr">
        <is>
          <t>No</t>
        </is>
      </c>
      <c r="J386" t="inlineStr">
        <is>
          <t>0</t>
        </is>
      </c>
      <c r="K386" t="inlineStr">
        <is>
          <t>Catholic Church. Pope (1978-2005 : John Paul II).</t>
        </is>
      </c>
      <c r="L386" t="inlineStr">
        <is>
          <t>Washington, D.C. : United States Catholic Conference, c1989.</t>
        </is>
      </c>
      <c r="M386" t="inlineStr">
        <is>
          <t>1989</t>
        </is>
      </c>
      <c r="O386" t="inlineStr">
        <is>
          <t>eng</t>
        </is>
      </c>
      <c r="P386" t="inlineStr">
        <is>
          <t>dcu</t>
        </is>
      </c>
      <c r="Q386" t="inlineStr">
        <is>
          <t>Publication / Office of Publishing and Promotion Services, United States Catholic Conference ; no. 278-0</t>
        </is>
      </c>
      <c r="R386" t="inlineStr">
        <is>
          <t xml:space="preserve">BV </t>
        </is>
      </c>
      <c r="S386" t="n">
        <v>9</v>
      </c>
      <c r="T386" t="n">
        <v>9</v>
      </c>
      <c r="U386" t="inlineStr">
        <is>
          <t>1996-11-08</t>
        </is>
      </c>
      <c r="V386" t="inlineStr">
        <is>
          <t>1996-11-08</t>
        </is>
      </c>
      <c r="W386" t="inlineStr">
        <is>
          <t>1992-02-19</t>
        </is>
      </c>
      <c r="X386" t="inlineStr">
        <is>
          <t>1992-02-19</t>
        </is>
      </c>
      <c r="Y386" t="n">
        <v>152</v>
      </c>
      <c r="Z386" t="n">
        <v>143</v>
      </c>
      <c r="AA386" t="n">
        <v>143</v>
      </c>
      <c r="AB386" t="n">
        <v>2</v>
      </c>
      <c r="AC386" t="n">
        <v>2</v>
      </c>
      <c r="AD386" t="n">
        <v>17</v>
      </c>
      <c r="AE386" t="n">
        <v>17</v>
      </c>
      <c r="AF386" t="n">
        <v>5</v>
      </c>
      <c r="AG386" t="n">
        <v>5</v>
      </c>
      <c r="AH386" t="n">
        <v>5</v>
      </c>
      <c r="AI386" t="n">
        <v>5</v>
      </c>
      <c r="AJ386" t="n">
        <v>13</v>
      </c>
      <c r="AK386" t="n">
        <v>13</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HYPERLINK("https://creighton-primo.hosted.exlibrisgroup.com/primo-explore/search?tab=default_tab&amp;search_scope=EVERYTHING&amp;vid=01CRU&amp;lang=en_US&amp;offset=0&amp;query=any,contains,991001521289702656","Catalog Record")</f>
        <v/>
      </c>
      <c r="AT386">
        <f>HYPERLINK("http://www.worldcat.org/oclc/20170633","WorldCat Record")</f>
        <v/>
      </c>
      <c r="AU386" t="inlineStr">
        <is>
          <t>21439355:eng</t>
        </is>
      </c>
      <c r="AV386" t="inlineStr">
        <is>
          <t>20170633</t>
        </is>
      </c>
      <c r="AW386" t="inlineStr">
        <is>
          <t>991001521289702656</t>
        </is>
      </c>
      <c r="AX386" t="inlineStr">
        <is>
          <t>991001521289702656</t>
        </is>
      </c>
      <c r="AY386" t="inlineStr">
        <is>
          <t>2257753840002656</t>
        </is>
      </c>
      <c r="AZ386" t="inlineStr">
        <is>
          <t>BOOK</t>
        </is>
      </c>
      <c r="BB386" t="inlineStr">
        <is>
          <t>9781555862787</t>
        </is>
      </c>
      <c r="BC386" t="inlineStr">
        <is>
          <t>32285000929371</t>
        </is>
      </c>
      <c r="BD386" t="inlineStr">
        <is>
          <t>893872577</t>
        </is>
      </c>
    </row>
    <row r="387">
      <c r="A387" t="inlineStr">
        <is>
          <t>No</t>
        </is>
      </c>
      <c r="B387" t="inlineStr">
        <is>
          <t>BV3790 .T57 1986</t>
        </is>
      </c>
      <c r="C387" t="inlineStr">
        <is>
          <t>0                      BV 3790000T  57          1986</t>
        </is>
      </c>
      <c r="D387" t="inlineStr">
        <is>
          <t>The priest in the pew / by Richard J. Tlapa.</t>
        </is>
      </c>
      <c r="F387" t="inlineStr">
        <is>
          <t>No</t>
        </is>
      </c>
      <c r="G387" t="inlineStr">
        <is>
          <t>1</t>
        </is>
      </c>
      <c r="H387" t="inlineStr">
        <is>
          <t>No</t>
        </is>
      </c>
      <c r="I387" t="inlineStr">
        <is>
          <t>No</t>
        </is>
      </c>
      <c r="J387" t="inlineStr">
        <is>
          <t>0</t>
        </is>
      </c>
      <c r="K387" t="inlineStr">
        <is>
          <t>Tlapa, Richard J.</t>
        </is>
      </c>
      <c r="L387" t="inlineStr">
        <is>
          <t>Columbus, Ga. : Brentwood Christian Press ; Chicago, Ill. : Distributed by Franciscan Herald Press, c1986.</t>
        </is>
      </c>
      <c r="M387" t="inlineStr">
        <is>
          <t>1986</t>
        </is>
      </c>
      <c r="O387" t="inlineStr">
        <is>
          <t>eng</t>
        </is>
      </c>
      <c r="P387" t="inlineStr">
        <is>
          <t>gau</t>
        </is>
      </c>
      <c r="R387" t="inlineStr">
        <is>
          <t xml:space="preserve">BV </t>
        </is>
      </c>
      <c r="S387" t="n">
        <v>3</v>
      </c>
      <c r="T387" t="n">
        <v>3</v>
      </c>
      <c r="U387" t="inlineStr">
        <is>
          <t>2005-10-25</t>
        </is>
      </c>
      <c r="V387" t="inlineStr">
        <is>
          <t>2005-10-25</t>
        </is>
      </c>
      <c r="W387" t="inlineStr">
        <is>
          <t>1992-02-19</t>
        </is>
      </c>
      <c r="X387" t="inlineStr">
        <is>
          <t>1992-02-19</t>
        </is>
      </c>
      <c r="Y387" t="n">
        <v>47</v>
      </c>
      <c r="Z387" t="n">
        <v>45</v>
      </c>
      <c r="AA387" t="n">
        <v>45</v>
      </c>
      <c r="AB387" t="n">
        <v>1</v>
      </c>
      <c r="AC387" t="n">
        <v>1</v>
      </c>
      <c r="AD387" t="n">
        <v>4</v>
      </c>
      <c r="AE387" t="n">
        <v>4</v>
      </c>
      <c r="AF387" t="n">
        <v>1</v>
      </c>
      <c r="AG387" t="n">
        <v>1</v>
      </c>
      <c r="AH387" t="n">
        <v>2</v>
      </c>
      <c r="AI387" t="n">
        <v>2</v>
      </c>
      <c r="AJ387" t="n">
        <v>2</v>
      </c>
      <c r="AK387" t="n">
        <v>2</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HYPERLINK("https://creighton-primo.hosted.exlibrisgroup.com/primo-explore/search?tab=default_tab&amp;search_scope=EVERYTHING&amp;vid=01CRU&amp;lang=en_US&amp;offset=0&amp;query=any,contains,991000703949702656","Catalog Record")</f>
        <v/>
      </c>
      <c r="AT387">
        <f>HYPERLINK("http://www.worldcat.org/oclc/12554467","WorldCat Record")</f>
        <v/>
      </c>
      <c r="AU387" t="inlineStr">
        <is>
          <t>4893530:eng</t>
        </is>
      </c>
      <c r="AV387" t="inlineStr">
        <is>
          <t>12554467</t>
        </is>
      </c>
      <c r="AW387" t="inlineStr">
        <is>
          <t>991000703949702656</t>
        </is>
      </c>
      <c r="AX387" t="inlineStr">
        <is>
          <t>991000703949702656</t>
        </is>
      </c>
      <c r="AY387" t="inlineStr">
        <is>
          <t>2259639060002656</t>
        </is>
      </c>
      <c r="AZ387" t="inlineStr">
        <is>
          <t>BOOK</t>
        </is>
      </c>
      <c r="BB387" t="inlineStr">
        <is>
          <t>9780819908902</t>
        </is>
      </c>
      <c r="BC387" t="inlineStr">
        <is>
          <t>32285005138978</t>
        </is>
      </c>
      <c r="BD387" t="inlineStr">
        <is>
          <t>893339806</t>
        </is>
      </c>
    </row>
    <row r="388">
      <c r="A388" t="inlineStr">
        <is>
          <t>No</t>
        </is>
      </c>
      <c r="B388" t="inlineStr">
        <is>
          <t>BV3793 .C3713 1993</t>
        </is>
      </c>
      <c r="C388" t="inlineStr">
        <is>
          <t>0                      BV 3793000C  3713        1993</t>
        </is>
      </c>
      <c r="D388" t="inlineStr">
        <is>
          <t>Evangelizing the culture of modernity / Hervé Carrier.</t>
        </is>
      </c>
      <c r="F388" t="inlineStr">
        <is>
          <t>No</t>
        </is>
      </c>
      <c r="G388" t="inlineStr">
        <is>
          <t>1</t>
        </is>
      </c>
      <c r="H388" t="inlineStr">
        <is>
          <t>No</t>
        </is>
      </c>
      <c r="I388" t="inlineStr">
        <is>
          <t>No</t>
        </is>
      </c>
      <c r="J388" t="inlineStr">
        <is>
          <t>0</t>
        </is>
      </c>
      <c r="K388" t="inlineStr">
        <is>
          <t>Carrier, Hervé, 1921-</t>
        </is>
      </c>
      <c r="L388" t="inlineStr">
        <is>
          <t>Maryknoll, N.Y. : Orbis Books, c1993.</t>
        </is>
      </c>
      <c r="M388" t="inlineStr">
        <is>
          <t>1993</t>
        </is>
      </c>
      <c r="O388" t="inlineStr">
        <is>
          <t>eng</t>
        </is>
      </c>
      <c r="P388" t="inlineStr">
        <is>
          <t>nyu</t>
        </is>
      </c>
      <c r="Q388" t="inlineStr">
        <is>
          <t>Faith and cultures series</t>
        </is>
      </c>
      <c r="R388" t="inlineStr">
        <is>
          <t xml:space="preserve">BV </t>
        </is>
      </c>
      <c r="S388" t="n">
        <v>5</v>
      </c>
      <c r="T388" t="n">
        <v>5</v>
      </c>
      <c r="U388" t="inlineStr">
        <is>
          <t>2006-03-24</t>
        </is>
      </c>
      <c r="V388" t="inlineStr">
        <is>
          <t>2006-03-24</t>
        </is>
      </c>
      <c r="W388" t="inlineStr">
        <is>
          <t>1994-07-29</t>
        </is>
      </c>
      <c r="X388" t="inlineStr">
        <is>
          <t>1994-07-29</t>
        </is>
      </c>
      <c r="Y388" t="n">
        <v>256</v>
      </c>
      <c r="Z388" t="n">
        <v>202</v>
      </c>
      <c r="AA388" t="n">
        <v>205</v>
      </c>
      <c r="AB388" t="n">
        <v>1</v>
      </c>
      <c r="AC388" t="n">
        <v>1</v>
      </c>
      <c r="AD388" t="n">
        <v>16</v>
      </c>
      <c r="AE388" t="n">
        <v>16</v>
      </c>
      <c r="AF388" t="n">
        <v>6</v>
      </c>
      <c r="AG388" t="n">
        <v>6</v>
      </c>
      <c r="AH388" t="n">
        <v>4</v>
      </c>
      <c r="AI388" t="n">
        <v>4</v>
      </c>
      <c r="AJ388" t="n">
        <v>9</v>
      </c>
      <c r="AK388" t="n">
        <v>9</v>
      </c>
      <c r="AL388" t="n">
        <v>0</v>
      </c>
      <c r="AM388" t="n">
        <v>0</v>
      </c>
      <c r="AN388" t="n">
        <v>0</v>
      </c>
      <c r="AO388" t="n">
        <v>0</v>
      </c>
      <c r="AP388" t="inlineStr">
        <is>
          <t>No</t>
        </is>
      </c>
      <c r="AQ388" t="inlineStr">
        <is>
          <t>Yes</t>
        </is>
      </c>
      <c r="AR388">
        <f>HYPERLINK("http://catalog.hathitrust.org/Record/002780449","HathiTrust Record")</f>
        <v/>
      </c>
      <c r="AS388">
        <f>HYPERLINK("https://creighton-primo.hosted.exlibrisgroup.com/primo-explore/search?tab=default_tab&amp;search_scope=EVERYTHING&amp;vid=01CRU&amp;lang=en_US&amp;offset=0&amp;query=any,contains,991002196999702656","Catalog Record")</f>
        <v/>
      </c>
      <c r="AT388">
        <f>HYPERLINK("http://www.worldcat.org/oclc/28255699","WorldCat Record")</f>
        <v/>
      </c>
      <c r="AU388" t="inlineStr">
        <is>
          <t>8908335335:eng</t>
        </is>
      </c>
      <c r="AV388" t="inlineStr">
        <is>
          <t>28255699</t>
        </is>
      </c>
      <c r="AW388" t="inlineStr">
        <is>
          <t>991002196999702656</t>
        </is>
      </c>
      <c r="AX388" t="inlineStr">
        <is>
          <t>991002196999702656</t>
        </is>
      </c>
      <c r="AY388" t="inlineStr">
        <is>
          <t>2264250290002656</t>
        </is>
      </c>
      <c r="AZ388" t="inlineStr">
        <is>
          <t>BOOK</t>
        </is>
      </c>
      <c r="BB388" t="inlineStr">
        <is>
          <t>9780883448984</t>
        </is>
      </c>
      <c r="BC388" t="inlineStr">
        <is>
          <t>32285001934602</t>
        </is>
      </c>
      <c r="BD388" t="inlineStr">
        <is>
          <t>893250927</t>
        </is>
      </c>
    </row>
    <row r="389">
      <c r="A389" t="inlineStr">
        <is>
          <t>No</t>
        </is>
      </c>
      <c r="B389" t="inlineStr">
        <is>
          <t>BV3793 .S6775 2002</t>
        </is>
      </c>
      <c r="C389" t="inlineStr">
        <is>
          <t>0                      BV 3793000S  6775        2002</t>
        </is>
      </c>
      <c r="D389" t="inlineStr">
        <is>
          <t>The strange new word of the Gospel : re-evangelizing in the postmodern world / edited by Carl E. Braaten and Robert W. Jenson.</t>
        </is>
      </c>
      <c r="F389" t="inlineStr">
        <is>
          <t>No</t>
        </is>
      </c>
      <c r="G389" t="inlineStr">
        <is>
          <t>1</t>
        </is>
      </c>
      <c r="H389" t="inlineStr">
        <is>
          <t>No</t>
        </is>
      </c>
      <c r="I389" t="inlineStr">
        <is>
          <t>No</t>
        </is>
      </c>
      <c r="J389" t="inlineStr">
        <is>
          <t>0</t>
        </is>
      </c>
      <c r="L389" t="inlineStr">
        <is>
          <t>Grand Rapids, Mich. : W.B. Eerdmans, c2002.</t>
        </is>
      </c>
      <c r="M389" t="inlineStr">
        <is>
          <t>2002</t>
        </is>
      </c>
      <c r="O389" t="inlineStr">
        <is>
          <t>eng</t>
        </is>
      </c>
      <c r="P389" t="inlineStr">
        <is>
          <t>miu</t>
        </is>
      </c>
      <c r="R389" t="inlineStr">
        <is>
          <t xml:space="preserve">BV </t>
        </is>
      </c>
      <c r="S389" t="n">
        <v>5</v>
      </c>
      <c r="T389" t="n">
        <v>5</v>
      </c>
      <c r="U389" t="inlineStr">
        <is>
          <t>2005-06-15</t>
        </is>
      </c>
      <c r="V389" t="inlineStr">
        <is>
          <t>2005-06-15</t>
        </is>
      </c>
      <c r="W389" t="inlineStr">
        <is>
          <t>2004-01-28</t>
        </is>
      </c>
      <c r="X389" t="inlineStr">
        <is>
          <t>2004-01-28</t>
        </is>
      </c>
      <c r="Y389" t="n">
        <v>257</v>
      </c>
      <c r="Z389" t="n">
        <v>197</v>
      </c>
      <c r="AA389" t="n">
        <v>197</v>
      </c>
      <c r="AB389" t="n">
        <v>1</v>
      </c>
      <c r="AC389" t="n">
        <v>1</v>
      </c>
      <c r="AD389" t="n">
        <v>11</v>
      </c>
      <c r="AE389" t="n">
        <v>11</v>
      </c>
      <c r="AF389" t="n">
        <v>5</v>
      </c>
      <c r="AG389" t="n">
        <v>5</v>
      </c>
      <c r="AH389" t="n">
        <v>3</v>
      </c>
      <c r="AI389" t="n">
        <v>3</v>
      </c>
      <c r="AJ389" t="n">
        <v>6</v>
      </c>
      <c r="AK389" t="n">
        <v>6</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HYPERLINK("https://creighton-primo.hosted.exlibrisgroup.com/primo-explore/search?tab=default_tab&amp;search_scope=EVERYTHING&amp;vid=01CRU&amp;lang=en_US&amp;offset=0&amp;query=any,contains,991004222319702656","Catalog Record")</f>
        <v/>
      </c>
      <c r="AT389">
        <f>HYPERLINK("http://www.worldcat.org/oclc/49618505","WorldCat Record")</f>
        <v/>
      </c>
      <c r="AU389" t="inlineStr">
        <is>
          <t>350359254:eng</t>
        </is>
      </c>
      <c r="AV389" t="inlineStr">
        <is>
          <t>49618505</t>
        </is>
      </c>
      <c r="AW389" t="inlineStr">
        <is>
          <t>991004222319702656</t>
        </is>
      </c>
      <c r="AX389" t="inlineStr">
        <is>
          <t>991004222319702656</t>
        </is>
      </c>
      <c r="AY389" t="inlineStr">
        <is>
          <t>2267225960002656</t>
        </is>
      </c>
      <c r="AZ389" t="inlineStr">
        <is>
          <t>BOOK</t>
        </is>
      </c>
      <c r="BB389" t="inlineStr">
        <is>
          <t>9780802839473</t>
        </is>
      </c>
      <c r="BC389" t="inlineStr">
        <is>
          <t>32285004636238</t>
        </is>
      </c>
      <c r="BD389" t="inlineStr">
        <is>
          <t>893800749</t>
        </is>
      </c>
    </row>
    <row r="390">
      <c r="A390" t="inlineStr">
        <is>
          <t>No</t>
        </is>
      </c>
      <c r="B390" t="inlineStr">
        <is>
          <t>BV40 .C6 1953</t>
        </is>
      </c>
      <c r="C390" t="inlineStr">
        <is>
          <t>0                      BV 0040000C  6           1953</t>
        </is>
      </c>
      <c r="D390" t="inlineStr">
        <is>
          <t>Spiritual steps to Christmas / Aloysius Coogan.</t>
        </is>
      </c>
      <c r="F390" t="inlineStr">
        <is>
          <t>No</t>
        </is>
      </c>
      <c r="G390" t="inlineStr">
        <is>
          <t>1</t>
        </is>
      </c>
      <c r="H390" t="inlineStr">
        <is>
          <t>No</t>
        </is>
      </c>
      <c r="I390" t="inlineStr">
        <is>
          <t>No</t>
        </is>
      </c>
      <c r="J390" t="inlineStr">
        <is>
          <t>0</t>
        </is>
      </c>
      <c r="K390" t="inlineStr">
        <is>
          <t>Coogan, Aloysius F.</t>
        </is>
      </c>
      <c r="L390" t="inlineStr">
        <is>
          <t>Milwaukee : Bruce Pub. Co., [1953]</t>
        </is>
      </c>
      <c r="M390" t="inlineStr">
        <is>
          <t>1953</t>
        </is>
      </c>
      <c r="O390" t="inlineStr">
        <is>
          <t>eng</t>
        </is>
      </c>
      <c r="P390" t="inlineStr">
        <is>
          <t>wiu</t>
        </is>
      </c>
      <c r="R390" t="inlineStr">
        <is>
          <t xml:space="preserve">BV </t>
        </is>
      </c>
      <c r="S390" t="n">
        <v>1</v>
      </c>
      <c r="T390" t="n">
        <v>1</v>
      </c>
      <c r="U390" t="inlineStr">
        <is>
          <t>2008-12-08</t>
        </is>
      </c>
      <c r="V390" t="inlineStr">
        <is>
          <t>2008-12-08</t>
        </is>
      </c>
      <c r="W390" t="inlineStr">
        <is>
          <t>1991-11-11</t>
        </is>
      </c>
      <c r="X390" t="inlineStr">
        <is>
          <t>1991-11-11</t>
        </is>
      </c>
      <c r="Y390" t="n">
        <v>109</v>
      </c>
      <c r="Z390" t="n">
        <v>101</v>
      </c>
      <c r="AA390" t="n">
        <v>105</v>
      </c>
      <c r="AB390" t="n">
        <v>2</v>
      </c>
      <c r="AC390" t="n">
        <v>2</v>
      </c>
      <c r="AD390" t="n">
        <v>13</v>
      </c>
      <c r="AE390" t="n">
        <v>13</v>
      </c>
      <c r="AF390" t="n">
        <v>2</v>
      </c>
      <c r="AG390" t="n">
        <v>2</v>
      </c>
      <c r="AH390" t="n">
        <v>1</v>
      </c>
      <c r="AI390" t="n">
        <v>1</v>
      </c>
      <c r="AJ390" t="n">
        <v>12</v>
      </c>
      <c r="AK390" t="n">
        <v>12</v>
      </c>
      <c r="AL390" t="n">
        <v>0</v>
      </c>
      <c r="AM390" t="n">
        <v>0</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HYPERLINK("https://creighton-primo.hosted.exlibrisgroup.com/primo-explore/search?tab=default_tab&amp;search_scope=EVERYTHING&amp;vid=01CRU&amp;lang=en_US&amp;offset=0&amp;query=any,contains,991004511259702656","Catalog Record")</f>
        <v/>
      </c>
      <c r="AT390">
        <f>HYPERLINK("http://www.worldcat.org/oclc/3766725","WorldCat Record")</f>
        <v/>
      </c>
      <c r="AU390" t="inlineStr">
        <is>
          <t>12104847:eng</t>
        </is>
      </c>
      <c r="AV390" t="inlineStr">
        <is>
          <t>3766725</t>
        </is>
      </c>
      <c r="AW390" t="inlineStr">
        <is>
          <t>991004511259702656</t>
        </is>
      </c>
      <c r="AX390" t="inlineStr">
        <is>
          <t>991004511259702656</t>
        </is>
      </c>
      <c r="AY390" t="inlineStr">
        <is>
          <t>2259252710002656</t>
        </is>
      </c>
      <c r="AZ390" t="inlineStr">
        <is>
          <t>BOOK</t>
        </is>
      </c>
      <c r="BC390" t="inlineStr">
        <is>
          <t>32285000835016</t>
        </is>
      </c>
      <c r="BD390" t="inlineStr">
        <is>
          <t>893782324</t>
        </is>
      </c>
    </row>
    <row r="391">
      <c r="A391" t="inlineStr">
        <is>
          <t>No</t>
        </is>
      </c>
      <c r="B391" t="inlineStr">
        <is>
          <t>BV40 .G65 1915</t>
        </is>
      </c>
      <c r="C391" t="inlineStr">
        <is>
          <t>0                      BV 0040000G  65          1915</t>
        </is>
      </c>
      <c r="D391" t="inlineStr">
        <is>
          <t>The Prince of Peace : meditations / by Alban Goodier.</t>
        </is>
      </c>
      <c r="F391" t="inlineStr">
        <is>
          <t>No</t>
        </is>
      </c>
      <c r="G391" t="inlineStr">
        <is>
          <t>1</t>
        </is>
      </c>
      <c r="H391" t="inlineStr">
        <is>
          <t>No</t>
        </is>
      </c>
      <c r="I391" t="inlineStr">
        <is>
          <t>No</t>
        </is>
      </c>
      <c r="J391" t="inlineStr">
        <is>
          <t>0</t>
        </is>
      </c>
      <c r="K391" t="inlineStr">
        <is>
          <t>Goodier, Alban, 1869-1939.</t>
        </is>
      </c>
      <c r="L391" t="inlineStr">
        <is>
          <t>New York : Benziger Brothers ; London : Burns Oates &amp; Washbourne, [1915]</t>
        </is>
      </c>
      <c r="M391" t="inlineStr">
        <is>
          <t>1915</t>
        </is>
      </c>
      <c r="O391" t="inlineStr">
        <is>
          <t>eng</t>
        </is>
      </c>
      <c r="P391" t="inlineStr">
        <is>
          <t>enk</t>
        </is>
      </c>
      <c r="R391" t="inlineStr">
        <is>
          <t xml:space="preserve">BV </t>
        </is>
      </c>
      <c r="S391" t="n">
        <v>1</v>
      </c>
      <c r="T391" t="n">
        <v>1</v>
      </c>
      <c r="U391" t="inlineStr">
        <is>
          <t>1996-12-19</t>
        </is>
      </c>
      <c r="V391" t="inlineStr">
        <is>
          <t>1996-12-19</t>
        </is>
      </c>
      <c r="W391" t="inlineStr">
        <is>
          <t>1990-02-09</t>
        </is>
      </c>
      <c r="X391" t="inlineStr">
        <is>
          <t>1990-02-09</t>
        </is>
      </c>
      <c r="Y391" t="n">
        <v>28</v>
      </c>
      <c r="Z391" t="n">
        <v>21</v>
      </c>
      <c r="AA391" t="n">
        <v>43</v>
      </c>
      <c r="AB391" t="n">
        <v>1</v>
      </c>
      <c r="AC391" t="n">
        <v>1</v>
      </c>
      <c r="AD391" t="n">
        <v>9</v>
      </c>
      <c r="AE391" t="n">
        <v>13</v>
      </c>
      <c r="AF391" t="n">
        <v>2</v>
      </c>
      <c r="AG391" t="n">
        <v>4</v>
      </c>
      <c r="AH391" t="n">
        <v>3</v>
      </c>
      <c r="AI391" t="n">
        <v>5</v>
      </c>
      <c r="AJ391" t="n">
        <v>7</v>
      </c>
      <c r="AK391" t="n">
        <v>10</v>
      </c>
      <c r="AL391" t="n">
        <v>0</v>
      </c>
      <c r="AM391" t="n">
        <v>0</v>
      </c>
      <c r="AN391" t="n">
        <v>0</v>
      </c>
      <c r="AO391" t="n">
        <v>0</v>
      </c>
      <c r="AP391" t="inlineStr">
        <is>
          <t>Yes</t>
        </is>
      </c>
      <c r="AQ391" t="inlineStr">
        <is>
          <t>No</t>
        </is>
      </c>
      <c r="AR391">
        <f>HYPERLINK("http://catalog.hathitrust.org/Record/102145888","HathiTrust Record")</f>
        <v/>
      </c>
      <c r="AS391">
        <f>HYPERLINK("https://creighton-primo.hosted.exlibrisgroup.com/primo-explore/search?tab=default_tab&amp;search_scope=EVERYTHING&amp;vid=01CRU&amp;lang=en_US&amp;offset=0&amp;query=any,contains,991004707189702656","Catalog Record")</f>
        <v/>
      </c>
      <c r="AT391">
        <f>HYPERLINK("http://www.worldcat.org/oclc/4725454","WorldCat Record")</f>
        <v/>
      </c>
      <c r="AU391" t="inlineStr">
        <is>
          <t>8889718:eng</t>
        </is>
      </c>
      <c r="AV391" t="inlineStr">
        <is>
          <t>4725454</t>
        </is>
      </c>
      <c r="AW391" t="inlineStr">
        <is>
          <t>991004707189702656</t>
        </is>
      </c>
      <c r="AX391" t="inlineStr">
        <is>
          <t>991004707189702656</t>
        </is>
      </c>
      <c r="AY391" t="inlineStr">
        <is>
          <t>2256770640002656</t>
        </is>
      </c>
      <c r="AZ391" t="inlineStr">
        <is>
          <t>BOOK</t>
        </is>
      </c>
      <c r="BC391" t="inlineStr">
        <is>
          <t>32285000045061</t>
        </is>
      </c>
      <c r="BD391" t="inlineStr">
        <is>
          <t>893417922</t>
        </is>
      </c>
    </row>
    <row r="392">
      <c r="A392" t="inlineStr">
        <is>
          <t>No</t>
        </is>
      </c>
      <c r="B392" t="inlineStr">
        <is>
          <t>BV4006 .B76 1987</t>
        </is>
      </c>
      <c r="C392" t="inlineStr">
        <is>
          <t>0                      BV 4006000B  76          1987</t>
        </is>
      </c>
      <c r="D392" t="inlineStr">
        <is>
          <t>Pastor and laity in the theology of Jean Gerson / D. Catherine Brown.</t>
        </is>
      </c>
      <c r="F392" t="inlineStr">
        <is>
          <t>No</t>
        </is>
      </c>
      <c r="G392" t="inlineStr">
        <is>
          <t>1</t>
        </is>
      </c>
      <c r="H392" t="inlineStr">
        <is>
          <t>No</t>
        </is>
      </c>
      <c r="I392" t="inlineStr">
        <is>
          <t>No</t>
        </is>
      </c>
      <c r="J392" t="inlineStr">
        <is>
          <t>0</t>
        </is>
      </c>
      <c r="K392" t="inlineStr">
        <is>
          <t>Brown, D. Catherine (Dorothy Catherine), 1928-</t>
        </is>
      </c>
      <c r="L392" t="inlineStr">
        <is>
          <t>Cambridge [Cambridgeshire] ; New York : Cambridge University Press, 1987.</t>
        </is>
      </c>
      <c r="M392" t="inlineStr">
        <is>
          <t>1987</t>
        </is>
      </c>
      <c r="O392" t="inlineStr">
        <is>
          <t>eng</t>
        </is>
      </c>
      <c r="P392" t="inlineStr">
        <is>
          <t>enk</t>
        </is>
      </c>
      <c r="R392" t="inlineStr">
        <is>
          <t xml:space="preserve">BV </t>
        </is>
      </c>
      <c r="S392" t="n">
        <v>2</v>
      </c>
      <c r="T392" t="n">
        <v>2</v>
      </c>
      <c r="U392" t="inlineStr">
        <is>
          <t>2009-12-10</t>
        </is>
      </c>
      <c r="V392" t="inlineStr">
        <is>
          <t>2009-12-10</t>
        </is>
      </c>
      <c r="W392" t="inlineStr">
        <is>
          <t>2009-11-17</t>
        </is>
      </c>
      <c r="X392" t="inlineStr">
        <is>
          <t>2009-11-17</t>
        </is>
      </c>
      <c r="Y392" t="n">
        <v>304</v>
      </c>
      <c r="Z392" t="n">
        <v>218</v>
      </c>
      <c r="AA392" t="n">
        <v>232</v>
      </c>
      <c r="AB392" t="n">
        <v>3</v>
      </c>
      <c r="AC392" t="n">
        <v>3</v>
      </c>
      <c r="AD392" t="n">
        <v>14</v>
      </c>
      <c r="AE392" t="n">
        <v>15</v>
      </c>
      <c r="AF392" t="n">
        <v>2</v>
      </c>
      <c r="AG392" t="n">
        <v>3</v>
      </c>
      <c r="AH392" t="n">
        <v>4</v>
      </c>
      <c r="AI392" t="n">
        <v>4</v>
      </c>
      <c r="AJ392" t="n">
        <v>9</v>
      </c>
      <c r="AK392" t="n">
        <v>9</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HYPERLINK("https://creighton-primo.hosted.exlibrisgroup.com/primo-explore/search?tab=default_tab&amp;search_scope=EVERYTHING&amp;vid=01CRU&amp;lang=en_US&amp;offset=0&amp;query=any,contains,991005182169702656","Catalog Record")</f>
        <v/>
      </c>
      <c r="AT392">
        <f>HYPERLINK("http://www.worldcat.org/oclc/13823387","WorldCat Record")</f>
        <v/>
      </c>
      <c r="AU392" t="inlineStr">
        <is>
          <t>7351417:eng</t>
        </is>
      </c>
      <c r="AV392" t="inlineStr">
        <is>
          <t>13823387</t>
        </is>
      </c>
      <c r="AW392" t="inlineStr">
        <is>
          <t>991005182169702656</t>
        </is>
      </c>
      <c r="AX392" t="inlineStr">
        <is>
          <t>991005182169702656</t>
        </is>
      </c>
      <c r="AY392" t="inlineStr">
        <is>
          <t>2267640320002656</t>
        </is>
      </c>
      <c r="AZ392" t="inlineStr">
        <is>
          <t>BOOK</t>
        </is>
      </c>
      <c r="BB392" t="inlineStr">
        <is>
          <t>9780521044752</t>
        </is>
      </c>
      <c r="BC392" t="inlineStr">
        <is>
          <t>32285005551485</t>
        </is>
      </c>
      <c r="BD392" t="inlineStr">
        <is>
          <t>893713583</t>
        </is>
      </c>
    </row>
    <row r="393">
      <c r="A393" t="inlineStr">
        <is>
          <t>No</t>
        </is>
      </c>
      <c r="B393" t="inlineStr">
        <is>
          <t>BV4006 .C66 1976</t>
        </is>
      </c>
      <c r="C393" t="inlineStr">
        <is>
          <t>0                      BV 4006000C  66          1976</t>
        </is>
      </c>
      <c r="D393" t="inlineStr">
        <is>
          <t>Ministry to word and sacraments : history and theology / Bernard Cooke.</t>
        </is>
      </c>
      <c r="F393" t="inlineStr">
        <is>
          <t>No</t>
        </is>
      </c>
      <c r="G393" t="inlineStr">
        <is>
          <t>1</t>
        </is>
      </c>
      <c r="H393" t="inlineStr">
        <is>
          <t>No</t>
        </is>
      </c>
      <c r="I393" t="inlineStr">
        <is>
          <t>No</t>
        </is>
      </c>
      <c r="J393" t="inlineStr">
        <is>
          <t>0</t>
        </is>
      </c>
      <c r="K393" t="inlineStr">
        <is>
          <t>Cooke, Bernard J., 1922-</t>
        </is>
      </c>
      <c r="L393" t="inlineStr">
        <is>
          <t>Philadelphia : Fortress Press, c1976.</t>
        </is>
      </c>
      <c r="M393" t="inlineStr">
        <is>
          <t>1976</t>
        </is>
      </c>
      <c r="O393" t="inlineStr">
        <is>
          <t>eng</t>
        </is>
      </c>
      <c r="P393" t="inlineStr">
        <is>
          <t>pau</t>
        </is>
      </c>
      <c r="R393" t="inlineStr">
        <is>
          <t xml:space="preserve">BV </t>
        </is>
      </c>
      <c r="S393" t="n">
        <v>2</v>
      </c>
      <c r="T393" t="n">
        <v>2</v>
      </c>
      <c r="U393" t="inlineStr">
        <is>
          <t>1998-06-16</t>
        </is>
      </c>
      <c r="V393" t="inlineStr">
        <is>
          <t>1998-06-16</t>
        </is>
      </c>
      <c r="W393" t="inlineStr">
        <is>
          <t>1992-02-19</t>
        </is>
      </c>
      <c r="X393" t="inlineStr">
        <is>
          <t>1992-02-19</t>
        </is>
      </c>
      <c r="Y393" t="n">
        <v>519</v>
      </c>
      <c r="Z393" t="n">
        <v>425</v>
      </c>
      <c r="AA393" t="n">
        <v>452</v>
      </c>
      <c r="AB393" t="n">
        <v>4</v>
      </c>
      <c r="AC393" t="n">
        <v>4</v>
      </c>
      <c r="AD393" t="n">
        <v>36</v>
      </c>
      <c r="AE393" t="n">
        <v>38</v>
      </c>
      <c r="AF393" t="n">
        <v>14</v>
      </c>
      <c r="AG393" t="n">
        <v>15</v>
      </c>
      <c r="AH393" t="n">
        <v>8</v>
      </c>
      <c r="AI393" t="n">
        <v>8</v>
      </c>
      <c r="AJ393" t="n">
        <v>25</v>
      </c>
      <c r="AK393" t="n">
        <v>26</v>
      </c>
      <c r="AL393" t="n">
        <v>2</v>
      </c>
      <c r="AM393" t="n">
        <v>2</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HYPERLINK("https://creighton-primo.hosted.exlibrisgroup.com/primo-explore/search?tab=default_tab&amp;search_scope=EVERYTHING&amp;vid=01CRU&amp;lang=en_US&amp;offset=0&amp;query=any,contains,991004140939702656","Catalog Record")</f>
        <v/>
      </c>
      <c r="AT393">
        <f>HYPERLINK("http://www.worldcat.org/oclc/2498166","WorldCat Record")</f>
        <v/>
      </c>
      <c r="AU393" t="inlineStr">
        <is>
          <t>293498937:eng</t>
        </is>
      </c>
      <c r="AV393" t="inlineStr">
        <is>
          <t>2498166</t>
        </is>
      </c>
      <c r="AW393" t="inlineStr">
        <is>
          <t>991004140939702656</t>
        </is>
      </c>
      <c r="AX393" t="inlineStr">
        <is>
          <t>991004140939702656</t>
        </is>
      </c>
      <c r="AY393" t="inlineStr">
        <is>
          <t>2263110710002656</t>
        </is>
      </c>
      <c r="AZ393" t="inlineStr">
        <is>
          <t>BOOK</t>
        </is>
      </c>
      <c r="BB393" t="inlineStr">
        <is>
          <t>9780800604400</t>
        </is>
      </c>
      <c r="BC393" t="inlineStr">
        <is>
          <t>32285000929454</t>
        </is>
      </c>
      <c r="BD393" t="inlineStr">
        <is>
          <t>893781901</t>
        </is>
      </c>
    </row>
    <row r="394">
      <c r="A394" t="inlineStr">
        <is>
          <t>No</t>
        </is>
      </c>
      <c r="B394" t="inlineStr">
        <is>
          <t>BV4011 .A488 2001</t>
        </is>
      </c>
      <c r="C394" t="inlineStr">
        <is>
          <t>0                      BV 4011000A  488         2001</t>
        </is>
      </c>
      <c r="D394" t="inlineStr">
        <is>
          <t>Mighty stories, dangerous rituals : weaving together the human and the divine / Herbert Anderson, Edward Foley.</t>
        </is>
      </c>
      <c r="F394" t="inlineStr">
        <is>
          <t>No</t>
        </is>
      </c>
      <c r="G394" t="inlineStr">
        <is>
          <t>1</t>
        </is>
      </c>
      <c r="H394" t="inlineStr">
        <is>
          <t>No</t>
        </is>
      </c>
      <c r="I394" t="inlineStr">
        <is>
          <t>No</t>
        </is>
      </c>
      <c r="J394" t="inlineStr">
        <is>
          <t>0</t>
        </is>
      </c>
      <c r="K394" t="inlineStr">
        <is>
          <t>Anderson, Herbert, 1936-</t>
        </is>
      </c>
      <c r="L394" t="inlineStr">
        <is>
          <t>San Francisco : Jossey-Bass, 2001, c1998.</t>
        </is>
      </c>
      <c r="M394" t="inlineStr">
        <is>
          <t>2001</t>
        </is>
      </c>
      <c r="N394" t="inlineStr">
        <is>
          <t>1st pbk. ed.</t>
        </is>
      </c>
      <c r="O394" t="inlineStr">
        <is>
          <t>eng</t>
        </is>
      </c>
      <c r="P394" t="inlineStr">
        <is>
          <t>cau</t>
        </is>
      </c>
      <c r="R394" t="inlineStr">
        <is>
          <t xml:space="preserve">BV </t>
        </is>
      </c>
      <c r="S394" t="n">
        <v>2</v>
      </c>
      <c r="T394" t="n">
        <v>2</v>
      </c>
      <c r="U394" t="inlineStr">
        <is>
          <t>2001-10-03</t>
        </is>
      </c>
      <c r="V394" t="inlineStr">
        <is>
          <t>2001-10-03</t>
        </is>
      </c>
      <c r="W394" t="inlineStr">
        <is>
          <t>2001-06-05</t>
        </is>
      </c>
      <c r="X394" t="inlineStr">
        <is>
          <t>2001-06-05</t>
        </is>
      </c>
      <c r="Y394" t="n">
        <v>45</v>
      </c>
      <c r="Z394" t="n">
        <v>34</v>
      </c>
      <c r="AA394" t="n">
        <v>1088</v>
      </c>
      <c r="AB394" t="n">
        <v>1</v>
      </c>
      <c r="AC394" t="n">
        <v>6</v>
      </c>
      <c r="AD394" t="n">
        <v>1</v>
      </c>
      <c r="AE394" t="n">
        <v>33</v>
      </c>
      <c r="AF394" t="n">
        <v>0</v>
      </c>
      <c r="AG394" t="n">
        <v>14</v>
      </c>
      <c r="AH394" t="n">
        <v>0</v>
      </c>
      <c r="AI394" t="n">
        <v>5</v>
      </c>
      <c r="AJ394" t="n">
        <v>1</v>
      </c>
      <c r="AK394" t="n">
        <v>12</v>
      </c>
      <c r="AL394" t="n">
        <v>0</v>
      </c>
      <c r="AM394" t="n">
        <v>5</v>
      </c>
      <c r="AN394" t="n">
        <v>0</v>
      </c>
      <c r="AO394" t="n">
        <v>1</v>
      </c>
      <c r="AP394" t="inlineStr">
        <is>
          <t>No</t>
        </is>
      </c>
      <c r="AQ394" t="inlineStr">
        <is>
          <t>No</t>
        </is>
      </c>
      <c r="AS394">
        <f>HYPERLINK("https://creighton-primo.hosted.exlibrisgroup.com/primo-explore/search?tab=default_tab&amp;search_scope=EVERYTHING&amp;vid=01CRU&amp;lang=en_US&amp;offset=0&amp;query=any,contains,991003534969702656","Catalog Record")</f>
        <v/>
      </c>
      <c r="AT394">
        <f>HYPERLINK("http://www.worldcat.org/oclc/46943339","WorldCat Record")</f>
        <v/>
      </c>
      <c r="AU394" t="inlineStr">
        <is>
          <t>797129848:eng</t>
        </is>
      </c>
      <c r="AV394" t="inlineStr">
        <is>
          <t>46943339</t>
        </is>
      </c>
      <c r="AW394" t="inlineStr">
        <is>
          <t>991003534969702656</t>
        </is>
      </c>
      <c r="AX394" t="inlineStr">
        <is>
          <t>991003534969702656</t>
        </is>
      </c>
      <c r="AY394" t="inlineStr">
        <is>
          <t>2269670170002656</t>
        </is>
      </c>
      <c r="AZ394" t="inlineStr">
        <is>
          <t>BOOK</t>
        </is>
      </c>
      <c r="BB394" t="inlineStr">
        <is>
          <t>9780787956486</t>
        </is>
      </c>
      <c r="BC394" t="inlineStr">
        <is>
          <t>32285004325071</t>
        </is>
      </c>
      <c r="BD394" t="inlineStr">
        <is>
          <t>893711458</t>
        </is>
      </c>
    </row>
    <row r="395">
      <c r="A395" t="inlineStr">
        <is>
          <t>No</t>
        </is>
      </c>
      <c r="B395" t="inlineStr">
        <is>
          <t>BV4011 .F45 1986</t>
        </is>
      </c>
      <c r="C395" t="inlineStr">
        <is>
          <t>0                      BV 4011000F  45          1986</t>
        </is>
      </c>
      <c r="D395" t="inlineStr">
        <is>
          <t>Mutual ministry : new vitality for the local church / James C. Fenhagen.</t>
        </is>
      </c>
      <c r="F395" t="inlineStr">
        <is>
          <t>No</t>
        </is>
      </c>
      <c r="G395" t="inlineStr">
        <is>
          <t>1</t>
        </is>
      </c>
      <c r="H395" t="inlineStr">
        <is>
          <t>No</t>
        </is>
      </c>
      <c r="I395" t="inlineStr">
        <is>
          <t>No</t>
        </is>
      </c>
      <c r="J395" t="inlineStr">
        <is>
          <t>0</t>
        </is>
      </c>
      <c r="K395" t="inlineStr">
        <is>
          <t>Fenhagen, James C.</t>
        </is>
      </c>
      <c r="L395" t="inlineStr">
        <is>
          <t>San Francisco : Harper &amp; Row, 1986, c1977.</t>
        </is>
      </c>
      <c r="M395" t="inlineStr">
        <is>
          <t>1986</t>
        </is>
      </c>
      <c r="N395" t="inlineStr">
        <is>
          <t>1st Harper &amp; Row pbk. ed.</t>
        </is>
      </c>
      <c r="O395" t="inlineStr">
        <is>
          <t>eng</t>
        </is>
      </c>
      <c r="P395" t="inlineStr">
        <is>
          <t>cau</t>
        </is>
      </c>
      <c r="R395" t="inlineStr">
        <is>
          <t xml:space="preserve">BV </t>
        </is>
      </c>
      <c r="S395" t="n">
        <v>6</v>
      </c>
      <c r="T395" t="n">
        <v>6</v>
      </c>
      <c r="U395" t="inlineStr">
        <is>
          <t>1994-11-14</t>
        </is>
      </c>
      <c r="V395" t="inlineStr">
        <is>
          <t>1994-11-14</t>
        </is>
      </c>
      <c r="W395" t="inlineStr">
        <is>
          <t>1992-02-19</t>
        </is>
      </c>
      <c r="X395" t="inlineStr">
        <is>
          <t>1992-02-19</t>
        </is>
      </c>
      <c r="Y395" t="n">
        <v>35</v>
      </c>
      <c r="Z395" t="n">
        <v>35</v>
      </c>
      <c r="AA395" t="n">
        <v>255</v>
      </c>
      <c r="AB395" t="n">
        <v>1</v>
      </c>
      <c r="AC395" t="n">
        <v>3</v>
      </c>
      <c r="AD395" t="n">
        <v>3</v>
      </c>
      <c r="AE395" t="n">
        <v>19</v>
      </c>
      <c r="AF395" t="n">
        <v>1</v>
      </c>
      <c r="AG395" t="n">
        <v>4</v>
      </c>
      <c r="AH395" t="n">
        <v>0</v>
      </c>
      <c r="AI395" t="n">
        <v>3</v>
      </c>
      <c r="AJ395" t="n">
        <v>3</v>
      </c>
      <c r="AK395" t="n">
        <v>13</v>
      </c>
      <c r="AL395" t="n">
        <v>0</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HYPERLINK("https://creighton-primo.hosted.exlibrisgroup.com/primo-explore/search?tab=default_tab&amp;search_scope=EVERYTHING&amp;vid=01CRU&amp;lang=en_US&amp;offset=0&amp;query=any,contains,991000858079702656","Catalog Record")</f>
        <v/>
      </c>
      <c r="AT395">
        <f>HYPERLINK("http://www.worldcat.org/oclc/13667233","WorldCat Record")</f>
        <v/>
      </c>
      <c r="AU395" t="inlineStr">
        <is>
          <t>378225761:eng</t>
        </is>
      </c>
      <c r="AV395" t="inlineStr">
        <is>
          <t>13667233</t>
        </is>
      </c>
      <c r="AW395" t="inlineStr">
        <is>
          <t>991000858079702656</t>
        </is>
      </c>
      <c r="AX395" t="inlineStr">
        <is>
          <t>991000858079702656</t>
        </is>
      </c>
      <c r="AY395" t="inlineStr">
        <is>
          <t>2272101300002656</t>
        </is>
      </c>
      <c r="AZ395" t="inlineStr">
        <is>
          <t>BOOK</t>
        </is>
      </c>
      <c r="BB395" t="inlineStr">
        <is>
          <t>9780866835336</t>
        </is>
      </c>
      <c r="BC395" t="inlineStr">
        <is>
          <t>32285000929538</t>
        </is>
      </c>
      <c r="BD395" t="inlineStr">
        <is>
          <t>893444491</t>
        </is>
      </c>
    </row>
    <row r="396">
      <c r="A396" t="inlineStr">
        <is>
          <t>No</t>
        </is>
      </c>
      <c r="B396" t="inlineStr">
        <is>
          <t>BV4011 .F47 1989</t>
        </is>
      </c>
      <c r="C396" t="inlineStr">
        <is>
          <t>0                      BV 4011000F  47          1989</t>
        </is>
      </c>
      <c r="D396" t="inlineStr">
        <is>
          <t>Partnership : women &amp; men in ministry / Fran Ferder &amp; John Heagle.</t>
        </is>
      </c>
      <c r="F396" t="inlineStr">
        <is>
          <t>No</t>
        </is>
      </c>
      <c r="G396" t="inlineStr">
        <is>
          <t>1</t>
        </is>
      </c>
      <c r="H396" t="inlineStr">
        <is>
          <t>No</t>
        </is>
      </c>
      <c r="I396" t="inlineStr">
        <is>
          <t>No</t>
        </is>
      </c>
      <c r="J396" t="inlineStr">
        <is>
          <t>0</t>
        </is>
      </c>
      <c r="K396" t="inlineStr">
        <is>
          <t>Ferder, Fran.</t>
        </is>
      </c>
      <c r="L396" t="inlineStr">
        <is>
          <t>Notre Dame, IN : Ave Maria Press, c1989.</t>
        </is>
      </c>
      <c r="M396" t="inlineStr">
        <is>
          <t>1989</t>
        </is>
      </c>
      <c r="O396" t="inlineStr">
        <is>
          <t>eng</t>
        </is>
      </c>
      <c r="P396" t="inlineStr">
        <is>
          <t>inu</t>
        </is>
      </c>
      <c r="R396" t="inlineStr">
        <is>
          <t xml:space="preserve">BV </t>
        </is>
      </c>
      <c r="S396" t="n">
        <v>1</v>
      </c>
      <c r="T396" t="n">
        <v>1</v>
      </c>
      <c r="U396" t="inlineStr">
        <is>
          <t>2008-06-09</t>
        </is>
      </c>
      <c r="V396" t="inlineStr">
        <is>
          <t>2008-06-09</t>
        </is>
      </c>
      <c r="W396" t="inlineStr">
        <is>
          <t>2008-06-09</t>
        </is>
      </c>
      <c r="X396" t="inlineStr">
        <is>
          <t>2008-06-09</t>
        </is>
      </c>
      <c r="Y396" t="n">
        <v>159</v>
      </c>
      <c r="Z396" t="n">
        <v>130</v>
      </c>
      <c r="AA396" t="n">
        <v>130</v>
      </c>
      <c r="AB396" t="n">
        <v>1</v>
      </c>
      <c r="AC396" t="n">
        <v>1</v>
      </c>
      <c r="AD396" t="n">
        <v>14</v>
      </c>
      <c r="AE396" t="n">
        <v>14</v>
      </c>
      <c r="AF396" t="n">
        <v>5</v>
      </c>
      <c r="AG396" t="n">
        <v>5</v>
      </c>
      <c r="AH396" t="n">
        <v>1</v>
      </c>
      <c r="AI396" t="n">
        <v>1</v>
      </c>
      <c r="AJ396" t="n">
        <v>11</v>
      </c>
      <c r="AK396" t="n">
        <v>11</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HYPERLINK("https://creighton-primo.hosted.exlibrisgroup.com/primo-explore/search?tab=default_tab&amp;search_scope=EVERYTHING&amp;vid=01CRU&amp;lang=en_US&amp;offset=0&amp;query=any,contains,991005232359702656","Catalog Record")</f>
        <v/>
      </c>
      <c r="AT396">
        <f>HYPERLINK("http://www.worldcat.org/oclc/19844917","WorldCat Record")</f>
        <v/>
      </c>
      <c r="AU396" t="inlineStr">
        <is>
          <t>283107530:eng</t>
        </is>
      </c>
      <c r="AV396" t="inlineStr">
        <is>
          <t>19844917</t>
        </is>
      </c>
      <c r="AW396" t="inlineStr">
        <is>
          <t>991005232359702656</t>
        </is>
      </c>
      <c r="AX396" t="inlineStr">
        <is>
          <t>991005232359702656</t>
        </is>
      </c>
      <c r="AY396" t="inlineStr">
        <is>
          <t>2268711930002656</t>
        </is>
      </c>
      <c r="AZ396" t="inlineStr">
        <is>
          <t>BOOK</t>
        </is>
      </c>
      <c r="BB396" t="inlineStr">
        <is>
          <t>9780877933991</t>
        </is>
      </c>
      <c r="BC396" t="inlineStr">
        <is>
          <t>32285005443774</t>
        </is>
      </c>
      <c r="BD396" t="inlineStr">
        <is>
          <t>893350947</t>
        </is>
      </c>
    </row>
    <row r="397">
      <c r="A397" t="inlineStr">
        <is>
          <t>No</t>
        </is>
      </c>
      <c r="B397" t="inlineStr">
        <is>
          <t>BV4011 .H583 1981</t>
        </is>
      </c>
      <c r="C397" t="inlineStr">
        <is>
          <t>0                      BV 4011000H  583         1981</t>
        </is>
      </c>
      <c r="D397" t="inlineStr">
        <is>
          <t>Ministry and imagination / Urban T. Holmes III.</t>
        </is>
      </c>
      <c r="F397" t="inlineStr">
        <is>
          <t>No</t>
        </is>
      </c>
      <c r="G397" t="inlineStr">
        <is>
          <t>1</t>
        </is>
      </c>
      <c r="H397" t="inlineStr">
        <is>
          <t>No</t>
        </is>
      </c>
      <c r="I397" t="inlineStr">
        <is>
          <t>No</t>
        </is>
      </c>
      <c r="J397" t="inlineStr">
        <is>
          <t>0</t>
        </is>
      </c>
      <c r="K397" t="inlineStr">
        <is>
          <t>Holmes, Urban T., III, 1930-1981.</t>
        </is>
      </c>
      <c r="L397" t="inlineStr">
        <is>
          <t>New York : Seabury Press, 1981, c1976.</t>
        </is>
      </c>
      <c r="M397" t="inlineStr">
        <is>
          <t>1981</t>
        </is>
      </c>
      <c r="N397" t="inlineStr">
        <is>
          <t>[Pbk. ed.]</t>
        </is>
      </c>
      <c r="O397" t="inlineStr">
        <is>
          <t>eng</t>
        </is>
      </c>
      <c r="P397" t="inlineStr">
        <is>
          <t>nyu</t>
        </is>
      </c>
      <c r="R397" t="inlineStr">
        <is>
          <t xml:space="preserve">BV </t>
        </is>
      </c>
      <c r="S397" t="n">
        <v>2</v>
      </c>
      <c r="T397" t="n">
        <v>2</v>
      </c>
      <c r="U397" t="inlineStr">
        <is>
          <t>2001-07-14</t>
        </is>
      </c>
      <c r="V397" t="inlineStr">
        <is>
          <t>2001-07-14</t>
        </is>
      </c>
      <c r="W397" t="inlineStr">
        <is>
          <t>1997-12-15</t>
        </is>
      </c>
      <c r="X397" t="inlineStr">
        <is>
          <t>1997-12-15</t>
        </is>
      </c>
      <c r="Y397" t="n">
        <v>29</v>
      </c>
      <c r="Z397" t="n">
        <v>22</v>
      </c>
      <c r="AA397" t="n">
        <v>280</v>
      </c>
      <c r="AB397" t="n">
        <v>1</v>
      </c>
      <c r="AC397" t="n">
        <v>3</v>
      </c>
      <c r="AD397" t="n">
        <v>2</v>
      </c>
      <c r="AE397" t="n">
        <v>24</v>
      </c>
      <c r="AF397" t="n">
        <v>1</v>
      </c>
      <c r="AG397" t="n">
        <v>9</v>
      </c>
      <c r="AH397" t="n">
        <v>2</v>
      </c>
      <c r="AI397" t="n">
        <v>4</v>
      </c>
      <c r="AJ397" t="n">
        <v>0</v>
      </c>
      <c r="AK397" t="n">
        <v>14</v>
      </c>
      <c r="AL397" t="n">
        <v>0</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HYPERLINK("https://creighton-primo.hosted.exlibrisgroup.com/primo-explore/search?tab=default_tab&amp;search_scope=EVERYTHING&amp;vid=01CRU&amp;lang=en_US&amp;offset=0&amp;query=any,contains,991000141929702656","Catalog Record")</f>
        <v/>
      </c>
      <c r="AT397">
        <f>HYPERLINK("http://www.worldcat.org/oclc/9160454","WorldCat Record")</f>
        <v/>
      </c>
      <c r="AU397" t="inlineStr">
        <is>
          <t>400666660:eng</t>
        </is>
      </c>
      <c r="AV397" t="inlineStr">
        <is>
          <t>9160454</t>
        </is>
      </c>
      <c r="AW397" t="inlineStr">
        <is>
          <t>991000141929702656</t>
        </is>
      </c>
      <c r="AX397" t="inlineStr">
        <is>
          <t>991000141929702656</t>
        </is>
      </c>
      <c r="AY397" t="inlineStr">
        <is>
          <t>2261566000002656</t>
        </is>
      </c>
      <c r="AZ397" t="inlineStr">
        <is>
          <t>BOOK</t>
        </is>
      </c>
      <c r="BB397" t="inlineStr">
        <is>
          <t>9780816423514</t>
        </is>
      </c>
      <c r="BC397" t="inlineStr">
        <is>
          <t>32285003283305</t>
        </is>
      </c>
      <c r="BD397" t="inlineStr">
        <is>
          <t>893327064</t>
        </is>
      </c>
    </row>
    <row r="398">
      <c r="A398" t="inlineStr">
        <is>
          <t>No</t>
        </is>
      </c>
      <c r="B398" t="inlineStr">
        <is>
          <t>BV4011 .J29 1981</t>
        </is>
      </c>
      <c r="C398" t="inlineStr">
        <is>
          <t>0                      BV 4011000J  29          1981</t>
        </is>
      </c>
      <c r="D398" t="inlineStr">
        <is>
          <t>Pastoral care and process theology / Gordon E. Jackson.</t>
        </is>
      </c>
      <c r="F398" t="inlineStr">
        <is>
          <t>No</t>
        </is>
      </c>
      <c r="G398" t="inlineStr">
        <is>
          <t>1</t>
        </is>
      </c>
      <c r="H398" t="inlineStr">
        <is>
          <t>No</t>
        </is>
      </c>
      <c r="I398" t="inlineStr">
        <is>
          <t>No</t>
        </is>
      </c>
      <c r="J398" t="inlineStr">
        <is>
          <t>0</t>
        </is>
      </c>
      <c r="K398" t="inlineStr">
        <is>
          <t>Jackson, Gordon E.</t>
        </is>
      </c>
      <c r="L398" t="inlineStr">
        <is>
          <t>Washington, D.C. : University Press of America, c1981.</t>
        </is>
      </c>
      <c r="M398" t="inlineStr">
        <is>
          <t>1981</t>
        </is>
      </c>
      <c r="O398" t="inlineStr">
        <is>
          <t>eng</t>
        </is>
      </c>
      <c r="P398" t="inlineStr">
        <is>
          <t>dcu</t>
        </is>
      </c>
      <c r="R398" t="inlineStr">
        <is>
          <t xml:space="preserve">BV </t>
        </is>
      </c>
      <c r="S398" t="n">
        <v>2</v>
      </c>
      <c r="T398" t="n">
        <v>2</v>
      </c>
      <c r="U398" t="inlineStr">
        <is>
          <t>1993-09-24</t>
        </is>
      </c>
      <c r="V398" t="inlineStr">
        <is>
          <t>1993-09-24</t>
        </is>
      </c>
      <c r="W398" t="inlineStr">
        <is>
          <t>1992-02-19</t>
        </is>
      </c>
      <c r="X398" t="inlineStr">
        <is>
          <t>1992-02-19</t>
        </is>
      </c>
      <c r="Y398" t="n">
        <v>298</v>
      </c>
      <c r="Z398" t="n">
        <v>249</v>
      </c>
      <c r="AA398" t="n">
        <v>254</v>
      </c>
      <c r="AB398" t="n">
        <v>2</v>
      </c>
      <c r="AC398" t="n">
        <v>2</v>
      </c>
      <c r="AD398" t="n">
        <v>17</v>
      </c>
      <c r="AE398" t="n">
        <v>17</v>
      </c>
      <c r="AF398" t="n">
        <v>4</v>
      </c>
      <c r="AG398" t="n">
        <v>4</v>
      </c>
      <c r="AH398" t="n">
        <v>3</v>
      </c>
      <c r="AI398" t="n">
        <v>3</v>
      </c>
      <c r="AJ398" t="n">
        <v>12</v>
      </c>
      <c r="AK398" t="n">
        <v>12</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HYPERLINK("https://creighton-primo.hosted.exlibrisgroup.com/primo-explore/search?tab=default_tab&amp;search_scope=EVERYTHING&amp;vid=01CRU&amp;lang=en_US&amp;offset=0&amp;query=any,contains,991005153699702656","Catalog Record")</f>
        <v/>
      </c>
      <c r="AT398">
        <f>HYPERLINK("http://www.worldcat.org/oclc/7737186","WorldCat Record")</f>
        <v/>
      </c>
      <c r="AU398" t="inlineStr">
        <is>
          <t>483260:eng</t>
        </is>
      </c>
      <c r="AV398" t="inlineStr">
        <is>
          <t>7737186</t>
        </is>
      </c>
      <c r="AW398" t="inlineStr">
        <is>
          <t>991005153699702656</t>
        </is>
      </c>
      <c r="AX398" t="inlineStr">
        <is>
          <t>991005153699702656</t>
        </is>
      </c>
      <c r="AY398" t="inlineStr">
        <is>
          <t>2257412470002656</t>
        </is>
      </c>
      <c r="AZ398" t="inlineStr">
        <is>
          <t>BOOK</t>
        </is>
      </c>
      <c r="BB398" t="inlineStr">
        <is>
          <t>9780819117106</t>
        </is>
      </c>
      <c r="BC398" t="inlineStr">
        <is>
          <t>32285000929546</t>
        </is>
      </c>
      <c r="BD398" t="inlineStr">
        <is>
          <t>893443495</t>
        </is>
      </c>
    </row>
    <row r="399">
      <c r="A399" t="inlineStr">
        <is>
          <t>No</t>
        </is>
      </c>
      <c r="B399" t="inlineStr">
        <is>
          <t>BV4011 .N68</t>
        </is>
      </c>
      <c r="C399" t="inlineStr">
        <is>
          <t>0                      BV 4011000N  68</t>
        </is>
      </c>
      <c r="D399" t="inlineStr">
        <is>
          <t>Creative ministry / [by] Henri J. M. Nouwen.</t>
        </is>
      </c>
      <c r="F399" t="inlineStr">
        <is>
          <t>No</t>
        </is>
      </c>
      <c r="G399" t="inlineStr">
        <is>
          <t>1</t>
        </is>
      </c>
      <c r="H399" t="inlineStr">
        <is>
          <t>No</t>
        </is>
      </c>
      <c r="I399" t="inlineStr">
        <is>
          <t>No</t>
        </is>
      </c>
      <c r="J399" t="inlineStr">
        <is>
          <t>0</t>
        </is>
      </c>
      <c r="K399" t="inlineStr">
        <is>
          <t>Nouwen, Henri J. M.</t>
        </is>
      </c>
      <c r="L399" t="inlineStr">
        <is>
          <t>Garden City, N.Y., Doubleday, 1971.</t>
        </is>
      </c>
      <c r="M399" t="inlineStr">
        <is>
          <t>1971</t>
        </is>
      </c>
      <c r="N399" t="inlineStr">
        <is>
          <t>[1st ed.]</t>
        </is>
      </c>
      <c r="O399" t="inlineStr">
        <is>
          <t>eng</t>
        </is>
      </c>
      <c r="P399" t="inlineStr">
        <is>
          <t>nyu</t>
        </is>
      </c>
      <c r="R399" t="inlineStr">
        <is>
          <t xml:space="preserve">BV </t>
        </is>
      </c>
      <c r="S399" t="n">
        <v>9</v>
      </c>
      <c r="T399" t="n">
        <v>9</v>
      </c>
      <c r="U399" t="inlineStr">
        <is>
          <t>2007-07-24</t>
        </is>
      </c>
      <c r="V399" t="inlineStr">
        <is>
          <t>2007-07-24</t>
        </is>
      </c>
      <c r="W399" t="inlineStr">
        <is>
          <t>1990-02-14</t>
        </is>
      </c>
      <c r="X399" t="inlineStr">
        <is>
          <t>1990-02-14</t>
        </is>
      </c>
      <c r="Y399" t="n">
        <v>526</v>
      </c>
      <c r="Z399" t="n">
        <v>452</v>
      </c>
      <c r="AA399" t="n">
        <v>622</v>
      </c>
      <c r="AB399" t="n">
        <v>8</v>
      </c>
      <c r="AC399" t="n">
        <v>10</v>
      </c>
      <c r="AD399" t="n">
        <v>35</v>
      </c>
      <c r="AE399" t="n">
        <v>45</v>
      </c>
      <c r="AF399" t="n">
        <v>12</v>
      </c>
      <c r="AG399" t="n">
        <v>17</v>
      </c>
      <c r="AH399" t="n">
        <v>7</v>
      </c>
      <c r="AI399" t="n">
        <v>8</v>
      </c>
      <c r="AJ399" t="n">
        <v>20</v>
      </c>
      <c r="AK399" t="n">
        <v>24</v>
      </c>
      <c r="AL399" t="n">
        <v>5</v>
      </c>
      <c r="AM399" t="n">
        <v>7</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HYPERLINK("https://creighton-primo.hosted.exlibrisgroup.com/primo-explore/search?tab=default_tab&amp;search_scope=EVERYTHING&amp;vid=01CRU&amp;lang=en_US&amp;offset=0&amp;query=any,contains,991000885619702656","Catalog Record")</f>
        <v/>
      </c>
      <c r="AT399">
        <f>HYPERLINK("http://www.worldcat.org/oclc/152930","WorldCat Record")</f>
        <v/>
      </c>
      <c r="AU399" t="inlineStr">
        <is>
          <t>1177480:eng</t>
        </is>
      </c>
      <c r="AV399" t="inlineStr">
        <is>
          <t>152930</t>
        </is>
      </c>
      <c r="AW399" t="inlineStr">
        <is>
          <t>991000885619702656</t>
        </is>
      </c>
      <c r="AX399" t="inlineStr">
        <is>
          <t>991000885619702656</t>
        </is>
      </c>
      <c r="AY399" t="inlineStr">
        <is>
          <t>2271745890002656</t>
        </is>
      </c>
      <c r="AZ399" t="inlineStr">
        <is>
          <t>BOOK</t>
        </is>
      </c>
      <c r="BC399" t="inlineStr">
        <is>
          <t>32285000052364</t>
        </is>
      </c>
      <c r="BD399" t="inlineStr">
        <is>
          <t>893327677</t>
        </is>
      </c>
    </row>
    <row r="400">
      <c r="A400" t="inlineStr">
        <is>
          <t>No</t>
        </is>
      </c>
      <c r="B400" t="inlineStr">
        <is>
          <t>BV4011 .P35 1977</t>
        </is>
      </c>
      <c r="C400" t="inlineStr">
        <is>
          <t>0                      BV 4011000P  35          1977</t>
        </is>
      </c>
      <c r="D400" t="inlineStr">
        <is>
          <t>Pastor and parish : a systems approach / E. Mansell Pattison.</t>
        </is>
      </c>
      <c r="F400" t="inlineStr">
        <is>
          <t>No</t>
        </is>
      </c>
      <c r="G400" t="inlineStr">
        <is>
          <t>1</t>
        </is>
      </c>
      <c r="H400" t="inlineStr">
        <is>
          <t>No</t>
        </is>
      </c>
      <c r="I400" t="inlineStr">
        <is>
          <t>No</t>
        </is>
      </c>
      <c r="J400" t="inlineStr">
        <is>
          <t>0</t>
        </is>
      </c>
      <c r="K400" t="inlineStr">
        <is>
          <t>Pattison, E. Mansell, 1933-</t>
        </is>
      </c>
      <c r="L400" t="inlineStr">
        <is>
          <t>Philadelphia : Fortress Press, c1977.</t>
        </is>
      </c>
      <c r="M400" t="inlineStr">
        <is>
          <t>1977</t>
        </is>
      </c>
      <c r="O400" t="inlineStr">
        <is>
          <t>eng</t>
        </is>
      </c>
      <c r="P400" t="inlineStr">
        <is>
          <t>pau</t>
        </is>
      </c>
      <c r="Q400" t="inlineStr">
        <is>
          <t>Creative pastoral care and counseling series</t>
        </is>
      </c>
      <c r="R400" t="inlineStr">
        <is>
          <t xml:space="preserve">BV </t>
        </is>
      </c>
      <c r="S400" t="n">
        <v>1</v>
      </c>
      <c r="T400" t="n">
        <v>1</v>
      </c>
      <c r="U400" t="inlineStr">
        <is>
          <t>2002-07-26</t>
        </is>
      </c>
      <c r="V400" t="inlineStr">
        <is>
          <t>2002-07-26</t>
        </is>
      </c>
      <c r="W400" t="inlineStr">
        <is>
          <t>1997-09-09</t>
        </is>
      </c>
      <c r="X400" t="inlineStr">
        <is>
          <t>1997-09-09</t>
        </is>
      </c>
      <c r="Y400" t="n">
        <v>294</v>
      </c>
      <c r="Z400" t="n">
        <v>239</v>
      </c>
      <c r="AA400" t="n">
        <v>244</v>
      </c>
      <c r="AB400" t="n">
        <v>4</v>
      </c>
      <c r="AC400" t="n">
        <v>4</v>
      </c>
      <c r="AD400" t="n">
        <v>16</v>
      </c>
      <c r="AE400" t="n">
        <v>16</v>
      </c>
      <c r="AF400" t="n">
        <v>5</v>
      </c>
      <c r="AG400" t="n">
        <v>5</v>
      </c>
      <c r="AH400" t="n">
        <v>3</v>
      </c>
      <c r="AI400" t="n">
        <v>3</v>
      </c>
      <c r="AJ400" t="n">
        <v>8</v>
      </c>
      <c r="AK400" t="n">
        <v>8</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HYPERLINK("https://creighton-primo.hosted.exlibrisgroup.com/primo-explore/search?tab=default_tab&amp;search_scope=EVERYTHING&amp;vid=01CRU&amp;lang=en_US&amp;offset=0&amp;query=any,contains,991004411929702656","Catalog Record")</f>
        <v/>
      </c>
      <c r="AT400">
        <f>HYPERLINK("http://www.worldcat.org/oclc/3345858","WorldCat Record")</f>
        <v/>
      </c>
      <c r="AU400" t="inlineStr">
        <is>
          <t>10177721:eng</t>
        </is>
      </c>
      <c r="AV400" t="inlineStr">
        <is>
          <t>3345858</t>
        </is>
      </c>
      <c r="AW400" t="inlineStr">
        <is>
          <t>991004411929702656</t>
        </is>
      </c>
      <c r="AX400" t="inlineStr">
        <is>
          <t>991004411929702656</t>
        </is>
      </c>
      <c r="AY400" t="inlineStr">
        <is>
          <t>2255642770002656</t>
        </is>
      </c>
      <c r="AZ400" t="inlineStr">
        <is>
          <t>BOOK</t>
        </is>
      </c>
      <c r="BB400" t="inlineStr">
        <is>
          <t>9780800605599</t>
        </is>
      </c>
      <c r="BC400" t="inlineStr">
        <is>
          <t>32285003004479</t>
        </is>
      </c>
      <c r="BD400" t="inlineStr">
        <is>
          <t>893500526</t>
        </is>
      </c>
    </row>
    <row r="401">
      <c r="A401" t="inlineStr">
        <is>
          <t>No</t>
        </is>
      </c>
      <c r="B401" t="inlineStr">
        <is>
          <t>BV4011 .P39 1980</t>
        </is>
      </c>
      <c r="C401" t="inlineStr">
        <is>
          <t>0                      BV 4011000P  39          1980</t>
        </is>
      </c>
      <c r="D401" t="inlineStr">
        <is>
          <t>The positive power of Jesus Christ / Norman Vincent Peale.</t>
        </is>
      </c>
      <c r="F401" t="inlineStr">
        <is>
          <t>No</t>
        </is>
      </c>
      <c r="G401" t="inlineStr">
        <is>
          <t>1</t>
        </is>
      </c>
      <c r="H401" t="inlineStr">
        <is>
          <t>No</t>
        </is>
      </c>
      <c r="I401" t="inlineStr">
        <is>
          <t>No</t>
        </is>
      </c>
      <c r="J401" t="inlineStr">
        <is>
          <t>0</t>
        </is>
      </c>
      <c r="K401" t="inlineStr">
        <is>
          <t>Peale, Norman Vincent, 1898-1993.</t>
        </is>
      </c>
      <c r="L401" t="inlineStr">
        <is>
          <t>Pawling, N.Y. : Foundation for Christian Living, c1980.</t>
        </is>
      </c>
      <c r="M401" t="inlineStr">
        <is>
          <t>1980</t>
        </is>
      </c>
      <c r="N401" t="inlineStr">
        <is>
          <t>Special FCL ed.</t>
        </is>
      </c>
      <c r="O401" t="inlineStr">
        <is>
          <t>eng</t>
        </is>
      </c>
      <c r="P401" t="inlineStr">
        <is>
          <t>nyu</t>
        </is>
      </c>
      <c r="R401" t="inlineStr">
        <is>
          <t xml:space="preserve">BV </t>
        </is>
      </c>
      <c r="S401" t="n">
        <v>1</v>
      </c>
      <c r="T401" t="n">
        <v>1</v>
      </c>
      <c r="U401" t="inlineStr">
        <is>
          <t>2010-06-29</t>
        </is>
      </c>
      <c r="V401" t="inlineStr">
        <is>
          <t>2010-06-29</t>
        </is>
      </c>
      <c r="W401" t="inlineStr">
        <is>
          <t>2010-06-29</t>
        </is>
      </c>
      <c r="X401" t="inlineStr">
        <is>
          <t>2010-06-29</t>
        </is>
      </c>
      <c r="Y401" t="n">
        <v>84</v>
      </c>
      <c r="Z401" t="n">
        <v>83</v>
      </c>
      <c r="AA401" t="n">
        <v>944</v>
      </c>
      <c r="AB401" t="n">
        <v>1</v>
      </c>
      <c r="AC401" t="n">
        <v>13</v>
      </c>
      <c r="AD401" t="n">
        <v>0</v>
      </c>
      <c r="AE401" t="n">
        <v>9</v>
      </c>
      <c r="AF401" t="n">
        <v>0</v>
      </c>
      <c r="AG401" t="n">
        <v>3</v>
      </c>
      <c r="AH401" t="n">
        <v>0</v>
      </c>
      <c r="AI401" t="n">
        <v>2</v>
      </c>
      <c r="AJ401" t="n">
        <v>0</v>
      </c>
      <c r="AK401" t="n">
        <v>3</v>
      </c>
      <c r="AL401" t="n">
        <v>0</v>
      </c>
      <c r="AM401" t="n">
        <v>3</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HYPERLINK("https://creighton-primo.hosted.exlibrisgroup.com/primo-explore/search?tab=default_tab&amp;search_scope=EVERYTHING&amp;vid=01CRU&amp;lang=en_US&amp;offset=0&amp;query=any,contains,991000015979702656","Catalog Record")</f>
        <v/>
      </c>
      <c r="AT401">
        <f>HYPERLINK("http://www.worldcat.org/oclc/8851498","WorldCat Record")</f>
        <v/>
      </c>
      <c r="AU401" t="inlineStr">
        <is>
          <t>62536104:eng</t>
        </is>
      </c>
      <c r="AV401" t="inlineStr">
        <is>
          <t>8851498</t>
        </is>
      </c>
      <c r="AW401" t="inlineStr">
        <is>
          <t>991000015979702656</t>
        </is>
      </c>
      <c r="AX401" t="inlineStr">
        <is>
          <t>991000015979702656</t>
        </is>
      </c>
      <c r="AY401" t="inlineStr">
        <is>
          <t>2260085420002656</t>
        </is>
      </c>
      <c r="AZ401" t="inlineStr">
        <is>
          <t>BOOK</t>
        </is>
      </c>
      <c r="BC401" t="inlineStr">
        <is>
          <t>32285005589238</t>
        </is>
      </c>
      <c r="BD401" t="inlineStr">
        <is>
          <t>893333130</t>
        </is>
      </c>
    </row>
    <row r="402">
      <c r="A402" t="inlineStr">
        <is>
          <t>No</t>
        </is>
      </c>
      <c r="B402" t="inlineStr">
        <is>
          <t>BV4011 .R52 1987</t>
        </is>
      </c>
      <c r="C402" t="inlineStr">
        <is>
          <t>0                      BV 4011000R  52          1987</t>
        </is>
      </c>
      <c r="D402" t="inlineStr">
        <is>
          <t>Co-creating : a feminist vision of ministry / Lynn N. Rhodes.</t>
        </is>
      </c>
      <c r="F402" t="inlineStr">
        <is>
          <t>No</t>
        </is>
      </c>
      <c r="G402" t="inlineStr">
        <is>
          <t>1</t>
        </is>
      </c>
      <c r="H402" t="inlineStr">
        <is>
          <t>No</t>
        </is>
      </c>
      <c r="I402" t="inlineStr">
        <is>
          <t>No</t>
        </is>
      </c>
      <c r="J402" t="inlineStr">
        <is>
          <t>0</t>
        </is>
      </c>
      <c r="K402" t="inlineStr">
        <is>
          <t>Rhodes, Lynn N., 1943-</t>
        </is>
      </c>
      <c r="L402" t="inlineStr">
        <is>
          <t>Philadelphia : Westminster Press, c1987.</t>
        </is>
      </c>
      <c r="M402" t="inlineStr">
        <is>
          <t>1987</t>
        </is>
      </c>
      <c r="N402" t="inlineStr">
        <is>
          <t>1st ed.</t>
        </is>
      </c>
      <c r="O402" t="inlineStr">
        <is>
          <t>eng</t>
        </is>
      </c>
      <c r="P402" t="inlineStr">
        <is>
          <t>pau</t>
        </is>
      </c>
      <c r="R402" t="inlineStr">
        <is>
          <t xml:space="preserve">BV </t>
        </is>
      </c>
      <c r="S402" t="n">
        <v>8</v>
      </c>
      <c r="T402" t="n">
        <v>8</v>
      </c>
      <c r="U402" t="inlineStr">
        <is>
          <t>1998-12-02</t>
        </is>
      </c>
      <c r="V402" t="inlineStr">
        <is>
          <t>1998-12-02</t>
        </is>
      </c>
      <c r="W402" t="inlineStr">
        <is>
          <t>1990-01-23</t>
        </is>
      </c>
      <c r="X402" t="inlineStr">
        <is>
          <t>1990-01-23</t>
        </is>
      </c>
      <c r="Y402" t="n">
        <v>334</v>
      </c>
      <c r="Z402" t="n">
        <v>285</v>
      </c>
      <c r="AA402" t="n">
        <v>290</v>
      </c>
      <c r="AB402" t="n">
        <v>2</v>
      </c>
      <c r="AC402" t="n">
        <v>2</v>
      </c>
      <c r="AD402" t="n">
        <v>20</v>
      </c>
      <c r="AE402" t="n">
        <v>20</v>
      </c>
      <c r="AF402" t="n">
        <v>8</v>
      </c>
      <c r="AG402" t="n">
        <v>8</v>
      </c>
      <c r="AH402" t="n">
        <v>3</v>
      </c>
      <c r="AI402" t="n">
        <v>3</v>
      </c>
      <c r="AJ402" t="n">
        <v>13</v>
      </c>
      <c r="AK402" t="n">
        <v>13</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HYPERLINK("https://creighton-primo.hosted.exlibrisgroup.com/primo-explore/search?tab=default_tab&amp;search_scope=EVERYTHING&amp;vid=01CRU&amp;lang=en_US&amp;offset=0&amp;query=any,contains,991001040739702656","Catalog Record")</f>
        <v/>
      </c>
      <c r="AT402">
        <f>HYPERLINK("http://www.worldcat.org/oclc/15589267","WorldCat Record")</f>
        <v/>
      </c>
      <c r="AU402" t="inlineStr">
        <is>
          <t>891844270:eng</t>
        </is>
      </c>
      <c r="AV402" t="inlineStr">
        <is>
          <t>15589267</t>
        </is>
      </c>
      <c r="AW402" t="inlineStr">
        <is>
          <t>991001040739702656</t>
        </is>
      </c>
      <c r="AX402" t="inlineStr">
        <is>
          <t>991001040739702656</t>
        </is>
      </c>
      <c r="AY402" t="inlineStr">
        <is>
          <t>2267143700002656</t>
        </is>
      </c>
      <c r="AZ402" t="inlineStr">
        <is>
          <t>BOOK</t>
        </is>
      </c>
      <c r="BB402" t="inlineStr">
        <is>
          <t>9780664240325</t>
        </is>
      </c>
      <c r="BC402" t="inlineStr">
        <is>
          <t>32285000029511</t>
        </is>
      </c>
      <c r="BD402" t="inlineStr">
        <is>
          <t>893702683</t>
        </is>
      </c>
    </row>
    <row r="403">
      <c r="A403" t="inlineStr">
        <is>
          <t>No</t>
        </is>
      </c>
      <c r="B403" t="inlineStr">
        <is>
          <t>BV4011 .R67 1988</t>
        </is>
      </c>
      <c r="C403" t="inlineStr">
        <is>
          <t>0                      BV 4011000R  67          1988</t>
        </is>
      </c>
      <c r="D403" t="inlineStr">
        <is>
          <t>Pillars of flame : power, priesthood, and spiritual maturity / Maggie Ross.</t>
        </is>
      </c>
      <c r="F403" t="inlineStr">
        <is>
          <t>No</t>
        </is>
      </c>
      <c r="G403" t="inlineStr">
        <is>
          <t>1</t>
        </is>
      </c>
      <c r="H403" t="inlineStr">
        <is>
          <t>No</t>
        </is>
      </c>
      <c r="I403" t="inlineStr">
        <is>
          <t>No</t>
        </is>
      </c>
      <c r="J403" t="inlineStr">
        <is>
          <t>0</t>
        </is>
      </c>
      <c r="K403" t="inlineStr">
        <is>
          <t>Ross, Maggie, 1941-</t>
        </is>
      </c>
      <c r="L403" t="inlineStr">
        <is>
          <t>San Francisco : Harper &amp; Row, c1988.</t>
        </is>
      </c>
      <c r="M403" t="inlineStr">
        <is>
          <t>1988</t>
        </is>
      </c>
      <c r="O403" t="inlineStr">
        <is>
          <t>eng</t>
        </is>
      </c>
      <c r="P403" t="inlineStr">
        <is>
          <t>cau</t>
        </is>
      </c>
      <c r="R403" t="inlineStr">
        <is>
          <t xml:space="preserve">BV </t>
        </is>
      </c>
      <c r="S403" t="n">
        <v>1</v>
      </c>
      <c r="T403" t="n">
        <v>1</v>
      </c>
      <c r="U403" t="inlineStr">
        <is>
          <t>2002-08-12</t>
        </is>
      </c>
      <c r="V403" t="inlineStr">
        <is>
          <t>2002-08-12</t>
        </is>
      </c>
      <c r="W403" t="inlineStr">
        <is>
          <t>2002-08-12</t>
        </is>
      </c>
      <c r="X403" t="inlineStr">
        <is>
          <t>2002-08-12</t>
        </is>
      </c>
      <c r="Y403" t="n">
        <v>204</v>
      </c>
      <c r="Z403" t="n">
        <v>166</v>
      </c>
      <c r="AA403" t="n">
        <v>184</v>
      </c>
      <c r="AB403" t="n">
        <v>2</v>
      </c>
      <c r="AC403" t="n">
        <v>2</v>
      </c>
      <c r="AD403" t="n">
        <v>11</v>
      </c>
      <c r="AE403" t="n">
        <v>12</v>
      </c>
      <c r="AF403" t="n">
        <v>3</v>
      </c>
      <c r="AG403" t="n">
        <v>3</v>
      </c>
      <c r="AH403" t="n">
        <v>2</v>
      </c>
      <c r="AI403" t="n">
        <v>2</v>
      </c>
      <c r="AJ403" t="n">
        <v>7</v>
      </c>
      <c r="AK403" t="n">
        <v>8</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HYPERLINK("https://creighton-primo.hosted.exlibrisgroup.com/primo-explore/search?tab=default_tab&amp;search_scope=EVERYTHING&amp;vid=01CRU&amp;lang=en_US&amp;offset=0&amp;query=any,contains,991003854689702656","Catalog Record")</f>
        <v/>
      </c>
      <c r="AT403">
        <f>HYPERLINK("http://www.worldcat.org/oclc/17842030","WorldCat Record")</f>
        <v/>
      </c>
      <c r="AU403" t="inlineStr">
        <is>
          <t>287200853:eng</t>
        </is>
      </c>
      <c r="AV403" t="inlineStr">
        <is>
          <t>17842030</t>
        </is>
      </c>
      <c r="AW403" t="inlineStr">
        <is>
          <t>991003854689702656</t>
        </is>
      </c>
      <c r="AX403" t="inlineStr">
        <is>
          <t>991003854689702656</t>
        </is>
      </c>
      <c r="AY403" t="inlineStr">
        <is>
          <t>2260560390002656</t>
        </is>
      </c>
      <c r="AZ403" t="inlineStr">
        <is>
          <t>BOOK</t>
        </is>
      </c>
      <c r="BB403" t="inlineStr">
        <is>
          <t>9780062548405</t>
        </is>
      </c>
      <c r="BC403" t="inlineStr">
        <is>
          <t>32285004642376</t>
        </is>
      </c>
      <c r="BD403" t="inlineStr">
        <is>
          <t>893252887</t>
        </is>
      </c>
    </row>
    <row r="404">
      <c r="A404" t="inlineStr">
        <is>
          <t>No</t>
        </is>
      </c>
      <c r="B404" t="inlineStr">
        <is>
          <t>BV4011 .S34713</t>
        </is>
      </c>
      <c r="C404" t="inlineStr">
        <is>
          <t>0                      BV 4011000S  34713</t>
        </is>
      </c>
      <c r="D404" t="inlineStr">
        <is>
          <t>Ministry, leadership in the community of Jesus Christ / Edward Schillebeeckx ; [translated by John Bowden from the Dutch].</t>
        </is>
      </c>
      <c r="F404" t="inlineStr">
        <is>
          <t>No</t>
        </is>
      </c>
      <c r="G404" t="inlineStr">
        <is>
          <t>1</t>
        </is>
      </c>
      <c r="H404" t="inlineStr">
        <is>
          <t>No</t>
        </is>
      </c>
      <c r="I404" t="inlineStr">
        <is>
          <t>No</t>
        </is>
      </c>
      <c r="J404" t="inlineStr">
        <is>
          <t>0</t>
        </is>
      </c>
      <c r="K404" t="inlineStr">
        <is>
          <t>Schillebeeckx, Edward, 1914-2009.</t>
        </is>
      </c>
      <c r="L404" t="inlineStr">
        <is>
          <t>New York : Crossroad, 1981.</t>
        </is>
      </c>
      <c r="M404" t="inlineStr">
        <is>
          <t>1981</t>
        </is>
      </c>
      <c r="O404" t="inlineStr">
        <is>
          <t>eng</t>
        </is>
      </c>
      <c r="P404" t="inlineStr">
        <is>
          <t>nyu</t>
        </is>
      </c>
      <c r="R404" t="inlineStr">
        <is>
          <t xml:space="preserve">BV </t>
        </is>
      </c>
      <c r="S404" t="n">
        <v>4</v>
      </c>
      <c r="T404" t="n">
        <v>4</v>
      </c>
      <c r="U404" t="inlineStr">
        <is>
          <t>1994-09-01</t>
        </is>
      </c>
      <c r="V404" t="inlineStr">
        <is>
          <t>1994-09-01</t>
        </is>
      </c>
      <c r="W404" t="inlineStr">
        <is>
          <t>1992-02-19</t>
        </is>
      </c>
      <c r="X404" t="inlineStr">
        <is>
          <t>1992-02-19</t>
        </is>
      </c>
      <c r="Y404" t="n">
        <v>624</v>
      </c>
      <c r="Z404" t="n">
        <v>553</v>
      </c>
      <c r="AA404" t="n">
        <v>568</v>
      </c>
      <c r="AB404" t="n">
        <v>6</v>
      </c>
      <c r="AC404" t="n">
        <v>6</v>
      </c>
      <c r="AD404" t="n">
        <v>40</v>
      </c>
      <c r="AE404" t="n">
        <v>41</v>
      </c>
      <c r="AF404" t="n">
        <v>15</v>
      </c>
      <c r="AG404" t="n">
        <v>15</v>
      </c>
      <c r="AH404" t="n">
        <v>8</v>
      </c>
      <c r="AI404" t="n">
        <v>8</v>
      </c>
      <c r="AJ404" t="n">
        <v>25</v>
      </c>
      <c r="AK404" t="n">
        <v>26</v>
      </c>
      <c r="AL404" t="n">
        <v>4</v>
      </c>
      <c r="AM404" t="n">
        <v>4</v>
      </c>
      <c r="AN404" t="n">
        <v>0</v>
      </c>
      <c r="AO404" t="n">
        <v>0</v>
      </c>
      <c r="AP404" t="inlineStr">
        <is>
          <t>No</t>
        </is>
      </c>
      <c r="AQ404" t="inlineStr">
        <is>
          <t>Yes</t>
        </is>
      </c>
      <c r="AR404">
        <f>HYPERLINK("http://catalog.hathitrust.org/Record/000148983","HathiTrust Record")</f>
        <v/>
      </c>
      <c r="AS404">
        <f>HYPERLINK("https://creighton-primo.hosted.exlibrisgroup.com/primo-explore/search?tab=default_tab&amp;search_scope=EVERYTHING&amp;vid=01CRU&amp;lang=en_US&amp;offset=0&amp;query=any,contains,991005092609702656","Catalog Record")</f>
        <v/>
      </c>
      <c r="AT404">
        <f>HYPERLINK("http://www.worldcat.org/oclc/7246688","WorldCat Record")</f>
        <v/>
      </c>
      <c r="AU404" t="inlineStr">
        <is>
          <t>369181797:eng</t>
        </is>
      </c>
      <c r="AV404" t="inlineStr">
        <is>
          <t>7246688</t>
        </is>
      </c>
      <c r="AW404" t="inlineStr">
        <is>
          <t>991005092609702656</t>
        </is>
      </c>
      <c r="AX404" t="inlineStr">
        <is>
          <t>991005092609702656</t>
        </is>
      </c>
      <c r="AY404" t="inlineStr">
        <is>
          <t>2270723340002656</t>
        </is>
      </c>
      <c r="AZ404" t="inlineStr">
        <is>
          <t>BOOK</t>
        </is>
      </c>
      <c r="BC404" t="inlineStr">
        <is>
          <t>32285000929587</t>
        </is>
      </c>
      <c r="BD404" t="inlineStr">
        <is>
          <t>893905222</t>
        </is>
      </c>
    </row>
    <row r="405">
      <c r="A405" t="inlineStr">
        <is>
          <t>No</t>
        </is>
      </c>
      <c r="B405" t="inlineStr">
        <is>
          <t>BV4011 .S865 1996</t>
        </is>
      </c>
      <c r="C405" t="inlineStr">
        <is>
          <t>0                      BV 4011000S  865         1996</t>
        </is>
      </c>
      <c r="D405" t="inlineStr">
        <is>
          <t>Compassionate ministry : theological foundations / Bryan P. Stone.</t>
        </is>
      </c>
      <c r="F405" t="inlineStr">
        <is>
          <t>No</t>
        </is>
      </c>
      <c r="G405" t="inlineStr">
        <is>
          <t>1</t>
        </is>
      </c>
      <c r="H405" t="inlineStr">
        <is>
          <t>No</t>
        </is>
      </c>
      <c r="I405" t="inlineStr">
        <is>
          <t>No</t>
        </is>
      </c>
      <c r="J405" t="inlineStr">
        <is>
          <t>0</t>
        </is>
      </c>
      <c r="K405" t="inlineStr">
        <is>
          <t>Stone, Bryan P., 1959-</t>
        </is>
      </c>
      <c r="L405" t="inlineStr">
        <is>
          <t>Maryknoll, N.Y. : Orbis Books, c1996.</t>
        </is>
      </c>
      <c r="M405" t="inlineStr">
        <is>
          <t>1996</t>
        </is>
      </c>
      <c r="O405" t="inlineStr">
        <is>
          <t>eng</t>
        </is>
      </c>
      <c r="P405" t="inlineStr">
        <is>
          <t>nyu</t>
        </is>
      </c>
      <c r="R405" t="inlineStr">
        <is>
          <t xml:space="preserve">BV </t>
        </is>
      </c>
      <c r="S405" t="n">
        <v>2</v>
      </c>
      <c r="T405" t="n">
        <v>2</v>
      </c>
      <c r="U405" t="inlineStr">
        <is>
          <t>2002-03-15</t>
        </is>
      </c>
      <c r="V405" t="inlineStr">
        <is>
          <t>2002-03-15</t>
        </is>
      </c>
      <c r="W405" t="inlineStr">
        <is>
          <t>1996-10-07</t>
        </is>
      </c>
      <c r="X405" t="inlineStr">
        <is>
          <t>1996-10-07</t>
        </is>
      </c>
      <c r="Y405" t="n">
        <v>205</v>
      </c>
      <c r="Z405" t="n">
        <v>163</v>
      </c>
      <c r="AA405" t="n">
        <v>163</v>
      </c>
      <c r="AB405" t="n">
        <v>2</v>
      </c>
      <c r="AC405" t="n">
        <v>2</v>
      </c>
      <c r="AD405" t="n">
        <v>15</v>
      </c>
      <c r="AE405" t="n">
        <v>15</v>
      </c>
      <c r="AF405" t="n">
        <v>8</v>
      </c>
      <c r="AG405" t="n">
        <v>8</v>
      </c>
      <c r="AH405" t="n">
        <v>4</v>
      </c>
      <c r="AI405" t="n">
        <v>4</v>
      </c>
      <c r="AJ405" t="n">
        <v>9</v>
      </c>
      <c r="AK405" t="n">
        <v>9</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HYPERLINK("https://creighton-primo.hosted.exlibrisgroup.com/primo-explore/search?tab=default_tab&amp;search_scope=EVERYTHING&amp;vid=01CRU&amp;lang=en_US&amp;offset=0&amp;query=any,contains,991002597129702656","Catalog Record")</f>
        <v/>
      </c>
      <c r="AT405">
        <f>HYPERLINK("http://www.worldcat.org/oclc/34029331","WorldCat Record")</f>
        <v/>
      </c>
      <c r="AU405" t="inlineStr">
        <is>
          <t>796079691:eng</t>
        </is>
      </c>
      <c r="AV405" t="inlineStr">
        <is>
          <t>34029331</t>
        </is>
      </c>
      <c r="AW405" t="inlineStr">
        <is>
          <t>991002597129702656</t>
        </is>
      </c>
      <c r="AX405" t="inlineStr">
        <is>
          <t>991002597129702656</t>
        </is>
      </c>
      <c r="AY405" t="inlineStr">
        <is>
          <t>2256178790002656</t>
        </is>
      </c>
      <c r="AZ405" t="inlineStr">
        <is>
          <t>BOOK</t>
        </is>
      </c>
      <c r="BB405" t="inlineStr">
        <is>
          <t>9781570750694</t>
        </is>
      </c>
      <c r="BC405" t="inlineStr">
        <is>
          <t>32285002323367</t>
        </is>
      </c>
      <c r="BD405" t="inlineStr">
        <is>
          <t>893427769</t>
        </is>
      </c>
    </row>
    <row r="406">
      <c r="A406" t="inlineStr">
        <is>
          <t>No</t>
        </is>
      </c>
      <c r="B406" t="inlineStr">
        <is>
          <t>BV4011.3 .A76 2005</t>
        </is>
      </c>
      <c r="C406" t="inlineStr">
        <is>
          <t>0                      BV 4011300A  76          2005</t>
        </is>
      </c>
      <c r="D406" t="inlineStr">
        <is>
          <t>Help! I'm a pastor! : a guide to parish ministry / Richard Stoll Armstrong, with Kirk Walker Morledge ; foreword by George H. Gallup, Jr.</t>
        </is>
      </c>
      <c r="F406" t="inlineStr">
        <is>
          <t>No</t>
        </is>
      </c>
      <c r="G406" t="inlineStr">
        <is>
          <t>1</t>
        </is>
      </c>
      <c r="H406" t="inlineStr">
        <is>
          <t>No</t>
        </is>
      </c>
      <c r="I406" t="inlineStr">
        <is>
          <t>No</t>
        </is>
      </c>
      <c r="J406" t="inlineStr">
        <is>
          <t>0</t>
        </is>
      </c>
      <c r="K406" t="inlineStr">
        <is>
          <t>Armstrong, Richard Stoll, 1924-</t>
        </is>
      </c>
      <c r="L406" t="inlineStr">
        <is>
          <t>Louisville, Ky. : Westminster John Knox Press, c2005.</t>
        </is>
      </c>
      <c r="M406" t="inlineStr">
        <is>
          <t>2005</t>
        </is>
      </c>
      <c r="N406" t="inlineStr">
        <is>
          <t>1st ed.</t>
        </is>
      </c>
      <c r="O406" t="inlineStr">
        <is>
          <t>eng</t>
        </is>
      </c>
      <c r="P406" t="inlineStr">
        <is>
          <t>kyu</t>
        </is>
      </c>
      <c r="R406" t="inlineStr">
        <is>
          <t xml:space="preserve">BV </t>
        </is>
      </c>
      <c r="S406" t="n">
        <v>2</v>
      </c>
      <c r="T406" t="n">
        <v>2</v>
      </c>
      <c r="U406" t="inlineStr">
        <is>
          <t>2007-05-15</t>
        </is>
      </c>
      <c r="V406" t="inlineStr">
        <is>
          <t>2007-05-15</t>
        </is>
      </c>
      <c r="W406" t="inlineStr">
        <is>
          <t>2007-05-15</t>
        </is>
      </c>
      <c r="X406" t="inlineStr">
        <is>
          <t>2007-05-15</t>
        </is>
      </c>
      <c r="Y406" t="n">
        <v>118</v>
      </c>
      <c r="Z406" t="n">
        <v>102</v>
      </c>
      <c r="AA406" t="n">
        <v>102</v>
      </c>
      <c r="AB406" t="n">
        <v>1</v>
      </c>
      <c r="AC406" t="n">
        <v>1</v>
      </c>
      <c r="AD406" t="n">
        <v>6</v>
      </c>
      <c r="AE406" t="n">
        <v>6</v>
      </c>
      <c r="AF406" t="n">
        <v>3</v>
      </c>
      <c r="AG406" t="n">
        <v>3</v>
      </c>
      <c r="AH406" t="n">
        <v>0</v>
      </c>
      <c r="AI406" t="n">
        <v>0</v>
      </c>
      <c r="AJ406" t="n">
        <v>3</v>
      </c>
      <c r="AK406" t="n">
        <v>3</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HYPERLINK("https://creighton-primo.hosted.exlibrisgroup.com/primo-explore/search?tab=default_tab&amp;search_scope=EVERYTHING&amp;vid=01CRU&amp;lang=en_US&amp;offset=0&amp;query=any,contains,991005079389702656","Catalog Record")</f>
        <v/>
      </c>
      <c r="AT406">
        <f>HYPERLINK("http://www.worldcat.org/oclc/57068827","WorldCat Record")</f>
        <v/>
      </c>
      <c r="AU406" t="inlineStr">
        <is>
          <t>17507858:eng</t>
        </is>
      </c>
      <c r="AV406" t="inlineStr">
        <is>
          <t>57068827</t>
        </is>
      </c>
      <c r="AW406" t="inlineStr">
        <is>
          <t>991005079389702656</t>
        </is>
      </c>
      <c r="AX406" t="inlineStr">
        <is>
          <t>991005079389702656</t>
        </is>
      </c>
      <c r="AY406" t="inlineStr">
        <is>
          <t>2265186230002656</t>
        </is>
      </c>
      <c r="AZ406" t="inlineStr">
        <is>
          <t>BOOK</t>
        </is>
      </c>
      <c r="BB406" t="inlineStr">
        <is>
          <t>9780664228958</t>
        </is>
      </c>
      <c r="BC406" t="inlineStr">
        <is>
          <t>32285005312805</t>
        </is>
      </c>
      <c r="BD406" t="inlineStr">
        <is>
          <t>893338469</t>
        </is>
      </c>
    </row>
    <row r="407">
      <c r="A407" t="inlineStr">
        <is>
          <t>No</t>
        </is>
      </c>
      <c r="B407" t="inlineStr">
        <is>
          <t>BV4011.4 .H54 2000</t>
        </is>
      </c>
      <c r="C407" t="inlineStr">
        <is>
          <t>0                      BV 4011400H  54          2000</t>
        </is>
      </c>
      <c r="D407" t="inlineStr">
        <is>
          <t>A time for change? : revisioning your call / James E. Hightower, Jr. and W. Craig Gilliam ; foreword by Richard N. Bolles.</t>
        </is>
      </c>
      <c r="F407" t="inlineStr">
        <is>
          <t>No</t>
        </is>
      </c>
      <c r="G407" t="inlineStr">
        <is>
          <t>1</t>
        </is>
      </c>
      <c r="H407" t="inlineStr">
        <is>
          <t>No</t>
        </is>
      </c>
      <c r="I407" t="inlineStr">
        <is>
          <t>No</t>
        </is>
      </c>
      <c r="J407" t="inlineStr">
        <is>
          <t>0</t>
        </is>
      </c>
      <c r="K407" t="inlineStr">
        <is>
          <t>Hightower, James E.</t>
        </is>
      </c>
      <c r="L407" t="inlineStr">
        <is>
          <t>[Bethesda, MD] : Alban Institute, c2000.</t>
        </is>
      </c>
      <c r="M407" t="inlineStr">
        <is>
          <t>2000</t>
        </is>
      </c>
      <c r="O407" t="inlineStr">
        <is>
          <t>eng</t>
        </is>
      </c>
      <c r="P407" t="inlineStr">
        <is>
          <t>mdu</t>
        </is>
      </c>
      <c r="R407" t="inlineStr">
        <is>
          <t xml:space="preserve">BV </t>
        </is>
      </c>
      <c r="S407" t="n">
        <v>1</v>
      </c>
      <c r="T407" t="n">
        <v>1</v>
      </c>
      <c r="U407" t="inlineStr">
        <is>
          <t>2007-05-23</t>
        </is>
      </c>
      <c r="V407" t="inlineStr">
        <is>
          <t>2007-05-23</t>
        </is>
      </c>
      <c r="W407" t="inlineStr">
        <is>
          <t>2007-05-23</t>
        </is>
      </c>
      <c r="X407" t="inlineStr">
        <is>
          <t>2007-05-23</t>
        </is>
      </c>
      <c r="Y407" t="n">
        <v>144</v>
      </c>
      <c r="Z407" t="n">
        <v>118</v>
      </c>
      <c r="AA407" t="n">
        <v>144</v>
      </c>
      <c r="AB407" t="n">
        <v>1</v>
      </c>
      <c r="AC407" t="n">
        <v>1</v>
      </c>
      <c r="AD407" t="n">
        <v>4</v>
      </c>
      <c r="AE407" t="n">
        <v>5</v>
      </c>
      <c r="AF407" t="n">
        <v>3</v>
      </c>
      <c r="AG407" t="n">
        <v>4</v>
      </c>
      <c r="AH407" t="n">
        <v>0</v>
      </c>
      <c r="AI407" t="n">
        <v>1</v>
      </c>
      <c r="AJ407" t="n">
        <v>1</v>
      </c>
      <c r="AK407" t="n">
        <v>1</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HYPERLINK("https://creighton-primo.hosted.exlibrisgroup.com/primo-explore/search?tab=default_tab&amp;search_scope=EVERYTHING&amp;vid=01CRU&amp;lang=en_US&amp;offset=0&amp;query=any,contains,991005080009702656","Catalog Record")</f>
        <v/>
      </c>
      <c r="AT407">
        <f>HYPERLINK("http://www.worldcat.org/oclc/45277993","WorldCat Record")</f>
        <v/>
      </c>
      <c r="AU407" t="inlineStr">
        <is>
          <t>2059634082:eng</t>
        </is>
      </c>
      <c r="AV407" t="inlineStr">
        <is>
          <t>45277993</t>
        </is>
      </c>
      <c r="AW407" t="inlineStr">
        <is>
          <t>991005080009702656</t>
        </is>
      </c>
      <c r="AX407" t="inlineStr">
        <is>
          <t>991005080009702656</t>
        </is>
      </c>
      <c r="AY407" t="inlineStr">
        <is>
          <t>2266596260002656</t>
        </is>
      </c>
      <c r="AZ407" t="inlineStr">
        <is>
          <t>BOOK</t>
        </is>
      </c>
      <c r="BB407" t="inlineStr">
        <is>
          <t>9781566992336</t>
        </is>
      </c>
      <c r="BC407" t="inlineStr">
        <is>
          <t>32285005314199</t>
        </is>
      </c>
      <c r="BD407" t="inlineStr">
        <is>
          <t>893236235</t>
        </is>
      </c>
    </row>
    <row r="408">
      <c r="A408" t="inlineStr">
        <is>
          <t>No</t>
        </is>
      </c>
      <c r="B408" t="inlineStr">
        <is>
          <t>BV4011.5 .B76</t>
        </is>
      </c>
      <c r="C408" t="inlineStr">
        <is>
          <t>0                      BV 4011500B  76</t>
        </is>
      </c>
      <c r="D408" t="inlineStr">
        <is>
          <t>The moral context of pastoral care / Don S. Browning.</t>
        </is>
      </c>
      <c r="F408" t="inlineStr">
        <is>
          <t>No</t>
        </is>
      </c>
      <c r="G408" t="inlineStr">
        <is>
          <t>1</t>
        </is>
      </c>
      <c r="H408" t="inlineStr">
        <is>
          <t>No</t>
        </is>
      </c>
      <c r="I408" t="inlineStr">
        <is>
          <t>No</t>
        </is>
      </c>
      <c r="J408" t="inlineStr">
        <is>
          <t>0</t>
        </is>
      </c>
      <c r="K408" t="inlineStr">
        <is>
          <t>Browning, Don S.</t>
        </is>
      </c>
      <c r="L408" t="inlineStr">
        <is>
          <t>Philadelphia : Westminster Press, c1976.</t>
        </is>
      </c>
      <c r="M408" t="inlineStr">
        <is>
          <t>1976</t>
        </is>
      </c>
      <c r="O408" t="inlineStr">
        <is>
          <t>eng</t>
        </is>
      </c>
      <c r="P408" t="inlineStr">
        <is>
          <t>pau</t>
        </is>
      </c>
      <c r="R408" t="inlineStr">
        <is>
          <t xml:space="preserve">BV </t>
        </is>
      </c>
      <c r="S408" t="n">
        <v>4</v>
      </c>
      <c r="T408" t="n">
        <v>4</v>
      </c>
      <c r="U408" t="inlineStr">
        <is>
          <t>1997-03-17</t>
        </is>
      </c>
      <c r="V408" t="inlineStr">
        <is>
          <t>1997-03-17</t>
        </is>
      </c>
      <c r="W408" t="inlineStr">
        <is>
          <t>1992-02-19</t>
        </is>
      </c>
      <c r="X408" t="inlineStr">
        <is>
          <t>1992-02-19</t>
        </is>
      </c>
      <c r="Y408" t="n">
        <v>403</v>
      </c>
      <c r="Z408" t="n">
        <v>333</v>
      </c>
      <c r="AA408" t="n">
        <v>336</v>
      </c>
      <c r="AB408" t="n">
        <v>1</v>
      </c>
      <c r="AC408" t="n">
        <v>1</v>
      </c>
      <c r="AD408" t="n">
        <v>21</v>
      </c>
      <c r="AE408" t="n">
        <v>21</v>
      </c>
      <c r="AF408" t="n">
        <v>10</v>
      </c>
      <c r="AG408" t="n">
        <v>10</v>
      </c>
      <c r="AH408" t="n">
        <v>4</v>
      </c>
      <c r="AI408" t="n">
        <v>4</v>
      </c>
      <c r="AJ408" t="n">
        <v>12</v>
      </c>
      <c r="AK408" t="n">
        <v>12</v>
      </c>
      <c r="AL408" t="n">
        <v>0</v>
      </c>
      <c r="AM408" t="n">
        <v>0</v>
      </c>
      <c r="AN408" t="n">
        <v>0</v>
      </c>
      <c r="AO408" t="n">
        <v>0</v>
      </c>
      <c r="AP408" t="inlineStr">
        <is>
          <t>No</t>
        </is>
      </c>
      <c r="AQ408" t="inlineStr">
        <is>
          <t>Yes</t>
        </is>
      </c>
      <c r="AR408">
        <f>HYPERLINK("http://catalog.hathitrust.org/Record/000448598","HathiTrust Record")</f>
        <v/>
      </c>
      <c r="AS408">
        <f>HYPERLINK("https://creighton-primo.hosted.exlibrisgroup.com/primo-explore/search?tab=default_tab&amp;search_scope=EVERYTHING&amp;vid=01CRU&amp;lang=en_US&amp;offset=0&amp;query=any,contains,991004002019702656","Catalog Record")</f>
        <v/>
      </c>
      <c r="AT408">
        <f>HYPERLINK("http://www.worldcat.org/oclc/2074375","WorldCat Record")</f>
        <v/>
      </c>
      <c r="AU408" t="inlineStr">
        <is>
          <t>4002428:eng</t>
        </is>
      </c>
      <c r="AV408" t="inlineStr">
        <is>
          <t>2074375</t>
        </is>
      </c>
      <c r="AW408" t="inlineStr">
        <is>
          <t>991004002019702656</t>
        </is>
      </c>
      <c r="AX408" t="inlineStr">
        <is>
          <t>991004002019702656</t>
        </is>
      </c>
      <c r="AY408" t="inlineStr">
        <is>
          <t>2263914020002656</t>
        </is>
      </c>
      <c r="AZ408" t="inlineStr">
        <is>
          <t>BOOK</t>
        </is>
      </c>
      <c r="BB408" t="inlineStr">
        <is>
          <t>9780664207427</t>
        </is>
      </c>
      <c r="BC408" t="inlineStr">
        <is>
          <t>32285000929611</t>
        </is>
      </c>
      <c r="BD408" t="inlineStr">
        <is>
          <t>893343347</t>
        </is>
      </c>
    </row>
    <row r="409">
      <c r="A409" t="inlineStr">
        <is>
          <t>No</t>
        </is>
      </c>
      <c r="B409" t="inlineStr">
        <is>
          <t>BV4011.5 .C45 1994</t>
        </is>
      </c>
      <c r="C409" t="inlineStr">
        <is>
          <t>0                      BV 4011500C  45          1994</t>
        </is>
      </c>
      <c r="D409" t="inlineStr">
        <is>
          <t>Clergy sexual misconduct : Orthodox Christian perspectives / edited by John T. Chirban ; with a foreword by Archbishop Iakovos.</t>
        </is>
      </c>
      <c r="F409" t="inlineStr">
        <is>
          <t>No</t>
        </is>
      </c>
      <c r="G409" t="inlineStr">
        <is>
          <t>1</t>
        </is>
      </c>
      <c r="H409" t="inlineStr">
        <is>
          <t>No</t>
        </is>
      </c>
      <c r="I409" t="inlineStr">
        <is>
          <t>No</t>
        </is>
      </c>
      <c r="J409" t="inlineStr">
        <is>
          <t>0</t>
        </is>
      </c>
      <c r="L409" t="inlineStr">
        <is>
          <t>Brookline, MA : Hellenic College Press, 1994.</t>
        </is>
      </c>
      <c r="M409" t="inlineStr">
        <is>
          <t>1994</t>
        </is>
      </c>
      <c r="O409" t="inlineStr">
        <is>
          <t>eng</t>
        </is>
      </c>
      <c r="P409" t="inlineStr">
        <is>
          <t>nyu</t>
        </is>
      </c>
      <c r="R409" t="inlineStr">
        <is>
          <t xml:space="preserve">BV </t>
        </is>
      </c>
      <c r="S409" t="n">
        <v>3</v>
      </c>
      <c r="T409" t="n">
        <v>3</v>
      </c>
      <c r="U409" t="inlineStr">
        <is>
          <t>2003-04-01</t>
        </is>
      </c>
      <c r="V409" t="inlineStr">
        <is>
          <t>2003-04-01</t>
        </is>
      </c>
      <c r="W409" t="inlineStr">
        <is>
          <t>1998-04-13</t>
        </is>
      </c>
      <c r="X409" t="inlineStr">
        <is>
          <t>1998-04-13</t>
        </is>
      </c>
      <c r="Y409" t="n">
        <v>99</v>
      </c>
      <c r="Z409" t="n">
        <v>97</v>
      </c>
      <c r="AA409" t="n">
        <v>103</v>
      </c>
      <c r="AB409" t="n">
        <v>1</v>
      </c>
      <c r="AC409" t="n">
        <v>1</v>
      </c>
      <c r="AD409" t="n">
        <v>13</v>
      </c>
      <c r="AE409" t="n">
        <v>14</v>
      </c>
      <c r="AF409" t="n">
        <v>8</v>
      </c>
      <c r="AG409" t="n">
        <v>9</v>
      </c>
      <c r="AH409" t="n">
        <v>3</v>
      </c>
      <c r="AI409" t="n">
        <v>3</v>
      </c>
      <c r="AJ409" t="n">
        <v>6</v>
      </c>
      <c r="AK409" t="n">
        <v>6</v>
      </c>
      <c r="AL409" t="n">
        <v>0</v>
      </c>
      <c r="AM409" t="n">
        <v>0</v>
      </c>
      <c r="AN409" t="n">
        <v>0</v>
      </c>
      <c r="AO409" t="n">
        <v>0</v>
      </c>
      <c r="AP409" t="inlineStr">
        <is>
          <t>No</t>
        </is>
      </c>
      <c r="AQ409" t="inlineStr">
        <is>
          <t>Yes</t>
        </is>
      </c>
      <c r="AR409">
        <f>HYPERLINK("http://catalog.hathitrust.org/Record/003254784","HathiTrust Record")</f>
        <v/>
      </c>
      <c r="AS409">
        <f>HYPERLINK("https://creighton-primo.hosted.exlibrisgroup.com/primo-explore/search?tab=default_tab&amp;search_scope=EVERYTHING&amp;vid=01CRU&amp;lang=en_US&amp;offset=0&amp;query=any,contains,991002675489702656","Catalog Record")</f>
        <v/>
      </c>
      <c r="AT409">
        <f>HYPERLINK("http://www.worldcat.org/oclc/34984093","WorldCat Record")</f>
        <v/>
      </c>
      <c r="AU409" t="inlineStr">
        <is>
          <t>2452874500:eng</t>
        </is>
      </c>
      <c r="AV409" t="inlineStr">
        <is>
          <t>34984093</t>
        </is>
      </c>
      <c r="AW409" t="inlineStr">
        <is>
          <t>991002675489702656</t>
        </is>
      </c>
      <c r="AX409" t="inlineStr">
        <is>
          <t>991002675489702656</t>
        </is>
      </c>
      <c r="AY409" t="inlineStr">
        <is>
          <t>2267802970002656</t>
        </is>
      </c>
      <c r="AZ409" t="inlineStr">
        <is>
          <t>BOOK</t>
        </is>
      </c>
      <c r="BB409" t="inlineStr">
        <is>
          <t>9780917653445</t>
        </is>
      </c>
      <c r="BC409" t="inlineStr">
        <is>
          <t>32285003384509</t>
        </is>
      </c>
      <c r="BD409" t="inlineStr">
        <is>
          <t>893886571</t>
        </is>
      </c>
    </row>
    <row r="410">
      <c r="A410" t="inlineStr">
        <is>
          <t>No</t>
        </is>
      </c>
      <c r="B410" t="inlineStr">
        <is>
          <t>BV4011.5 .L44 1991</t>
        </is>
      </c>
      <c r="C410" t="inlineStr">
        <is>
          <t>0                      BV 4011500L  44          1991</t>
        </is>
      </c>
      <c r="D410" t="inlineStr">
        <is>
          <t>Sex in the parish / Karen Lebacqz, Ronald G. Barton.</t>
        </is>
      </c>
      <c r="F410" t="inlineStr">
        <is>
          <t>No</t>
        </is>
      </c>
      <c r="G410" t="inlineStr">
        <is>
          <t>1</t>
        </is>
      </c>
      <c r="H410" t="inlineStr">
        <is>
          <t>No</t>
        </is>
      </c>
      <c r="I410" t="inlineStr">
        <is>
          <t>No</t>
        </is>
      </c>
      <c r="J410" t="inlineStr">
        <is>
          <t>0</t>
        </is>
      </c>
      <c r="K410" t="inlineStr">
        <is>
          <t>Lebacqz, Karen, 1945-</t>
        </is>
      </c>
      <c r="L410" t="inlineStr">
        <is>
          <t>Louisville, Ky. : Westminster/J. Knox Press, c1991.</t>
        </is>
      </c>
      <c r="M410" t="inlineStr">
        <is>
          <t>1991</t>
        </is>
      </c>
      <c r="N410" t="inlineStr">
        <is>
          <t>1st ed.</t>
        </is>
      </c>
      <c r="O410" t="inlineStr">
        <is>
          <t>eng</t>
        </is>
      </c>
      <c r="P410" t="inlineStr">
        <is>
          <t>kyu</t>
        </is>
      </c>
      <c r="R410" t="inlineStr">
        <is>
          <t xml:space="preserve">BV </t>
        </is>
      </c>
      <c r="S410" t="n">
        <v>4</v>
      </c>
      <c r="T410" t="n">
        <v>4</v>
      </c>
      <c r="U410" t="inlineStr">
        <is>
          <t>2003-04-01</t>
        </is>
      </c>
      <c r="V410" t="inlineStr">
        <is>
          <t>2003-04-01</t>
        </is>
      </c>
      <c r="W410" t="inlineStr">
        <is>
          <t>1994-02-23</t>
        </is>
      </c>
      <c r="X410" t="inlineStr">
        <is>
          <t>1994-02-23</t>
        </is>
      </c>
      <c r="Y410" t="n">
        <v>362</v>
      </c>
      <c r="Z410" t="n">
        <v>304</v>
      </c>
      <c r="AA410" t="n">
        <v>636</v>
      </c>
      <c r="AB410" t="n">
        <v>2</v>
      </c>
      <c r="AC410" t="n">
        <v>2</v>
      </c>
      <c r="AD410" t="n">
        <v>16</v>
      </c>
      <c r="AE410" t="n">
        <v>20</v>
      </c>
      <c r="AF410" t="n">
        <v>7</v>
      </c>
      <c r="AG410" t="n">
        <v>10</v>
      </c>
      <c r="AH410" t="n">
        <v>2</v>
      </c>
      <c r="AI410" t="n">
        <v>3</v>
      </c>
      <c r="AJ410" t="n">
        <v>8</v>
      </c>
      <c r="AK410" t="n">
        <v>10</v>
      </c>
      <c r="AL410" t="n">
        <v>1</v>
      </c>
      <c r="AM410" t="n">
        <v>1</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HYPERLINK("https://creighton-primo.hosted.exlibrisgroup.com/primo-explore/search?tab=default_tab&amp;search_scope=EVERYTHING&amp;vid=01CRU&amp;lang=en_US&amp;offset=0&amp;query=any,contains,991001837249702656","Catalog Record")</f>
        <v/>
      </c>
      <c r="AT410">
        <f>HYPERLINK("http://www.worldcat.org/oclc/23080803","WorldCat Record")</f>
        <v/>
      </c>
      <c r="AU410" t="inlineStr">
        <is>
          <t>1032829:eng</t>
        </is>
      </c>
      <c r="AV410" t="inlineStr">
        <is>
          <t>23080803</t>
        </is>
      </c>
      <c r="AW410" t="inlineStr">
        <is>
          <t>991001837249702656</t>
        </is>
      </c>
      <c r="AX410" t="inlineStr">
        <is>
          <t>991001837249702656</t>
        </is>
      </c>
      <c r="AY410" t="inlineStr">
        <is>
          <t>2259333400002656</t>
        </is>
      </c>
      <c r="AZ410" t="inlineStr">
        <is>
          <t>BOOK</t>
        </is>
      </c>
      <c r="BB410" t="inlineStr">
        <is>
          <t>9780664250874</t>
        </is>
      </c>
      <c r="BC410" t="inlineStr">
        <is>
          <t>32285001843282</t>
        </is>
      </c>
      <c r="BD410" t="inlineStr">
        <is>
          <t>893433174</t>
        </is>
      </c>
    </row>
    <row r="411">
      <c r="A411" t="inlineStr">
        <is>
          <t>No</t>
        </is>
      </c>
      <c r="B411" t="inlineStr">
        <is>
          <t>BV4011.5 W55 2000</t>
        </is>
      </c>
      <c r="C411" t="inlineStr">
        <is>
          <t>0                      BV 4011500W  55          2000</t>
        </is>
      </c>
      <c r="D411" t="inlineStr">
        <is>
          <t>Calling &amp; character : virtues of the ordained life / William H. Willimon.</t>
        </is>
      </c>
      <c r="F411" t="inlineStr">
        <is>
          <t>No</t>
        </is>
      </c>
      <c r="G411" t="inlineStr">
        <is>
          <t>1</t>
        </is>
      </c>
      <c r="H411" t="inlineStr">
        <is>
          <t>No</t>
        </is>
      </c>
      <c r="I411" t="inlineStr">
        <is>
          <t>No</t>
        </is>
      </c>
      <c r="J411" t="inlineStr">
        <is>
          <t>0</t>
        </is>
      </c>
      <c r="K411" t="inlineStr">
        <is>
          <t>Willimon, William H.</t>
        </is>
      </c>
      <c r="L411" t="inlineStr">
        <is>
          <t>Nashville : Abingdon Press, c2000.</t>
        </is>
      </c>
      <c r="M411" t="inlineStr">
        <is>
          <t>2000</t>
        </is>
      </c>
      <c r="O411" t="inlineStr">
        <is>
          <t>eng</t>
        </is>
      </c>
      <c r="P411" t="inlineStr">
        <is>
          <t>tnu</t>
        </is>
      </c>
      <c r="R411" t="inlineStr">
        <is>
          <t xml:space="preserve">BV </t>
        </is>
      </c>
      <c r="S411" t="n">
        <v>3</v>
      </c>
      <c r="T411" t="n">
        <v>3</v>
      </c>
      <c r="U411" t="inlineStr">
        <is>
          <t>2009-09-02</t>
        </is>
      </c>
      <c r="V411" t="inlineStr">
        <is>
          <t>2009-09-02</t>
        </is>
      </c>
      <c r="W411" t="inlineStr">
        <is>
          <t>2006-05-23</t>
        </is>
      </c>
      <c r="X411" t="inlineStr">
        <is>
          <t>2006-05-23</t>
        </is>
      </c>
      <c r="Y411" t="n">
        <v>244</v>
      </c>
      <c r="Z411" t="n">
        <v>202</v>
      </c>
      <c r="AA411" t="n">
        <v>216</v>
      </c>
      <c r="AB411" t="n">
        <v>2</v>
      </c>
      <c r="AC411" t="n">
        <v>3</v>
      </c>
      <c r="AD411" t="n">
        <v>12</v>
      </c>
      <c r="AE411" t="n">
        <v>13</v>
      </c>
      <c r="AF411" t="n">
        <v>5</v>
      </c>
      <c r="AG411" t="n">
        <v>5</v>
      </c>
      <c r="AH411" t="n">
        <v>3</v>
      </c>
      <c r="AI411" t="n">
        <v>3</v>
      </c>
      <c r="AJ411" t="n">
        <v>6</v>
      </c>
      <c r="AK411" t="n">
        <v>6</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HYPERLINK("https://creighton-primo.hosted.exlibrisgroup.com/primo-explore/search?tab=default_tab&amp;search_scope=EVERYTHING&amp;vid=01CRU&amp;lang=en_US&amp;offset=0&amp;query=any,contains,991004780469702656","Catalog Record")</f>
        <v/>
      </c>
      <c r="AT411">
        <f>HYPERLINK("http://www.worldcat.org/oclc/44579032","WorldCat Record")</f>
        <v/>
      </c>
      <c r="AU411" t="inlineStr">
        <is>
          <t>34333678:eng</t>
        </is>
      </c>
      <c r="AV411" t="inlineStr">
        <is>
          <t>44579032</t>
        </is>
      </c>
      <c r="AW411" t="inlineStr">
        <is>
          <t>991004780469702656</t>
        </is>
      </c>
      <c r="AX411" t="inlineStr">
        <is>
          <t>991004780469702656</t>
        </is>
      </c>
      <c r="AY411" t="inlineStr">
        <is>
          <t>2270351030002656</t>
        </is>
      </c>
      <c r="AZ411" t="inlineStr">
        <is>
          <t>BOOK</t>
        </is>
      </c>
      <c r="BB411" t="inlineStr">
        <is>
          <t>9780687090334</t>
        </is>
      </c>
      <c r="BC411" t="inlineStr">
        <is>
          <t>32285005188684</t>
        </is>
      </c>
      <c r="BD411" t="inlineStr">
        <is>
          <t>893513674</t>
        </is>
      </c>
    </row>
    <row r="412">
      <c r="A412" t="inlineStr">
        <is>
          <t>No</t>
        </is>
      </c>
      <c r="B412" t="inlineStr">
        <is>
          <t>BV4011.6 .H56 1999</t>
        </is>
      </c>
      <c r="C412" t="inlineStr">
        <is>
          <t>0                      BV 4011600H  56          1999</t>
        </is>
      </c>
      <c r="D412" t="inlineStr">
        <is>
          <t>Spiritual preparation for Christian leadership / E. Glenn Hinson.</t>
        </is>
      </c>
      <c r="F412" t="inlineStr">
        <is>
          <t>No</t>
        </is>
      </c>
      <c r="G412" t="inlineStr">
        <is>
          <t>1</t>
        </is>
      </c>
      <c r="H412" t="inlineStr">
        <is>
          <t>No</t>
        </is>
      </c>
      <c r="I412" t="inlineStr">
        <is>
          <t>No</t>
        </is>
      </c>
      <c r="J412" t="inlineStr">
        <is>
          <t>0</t>
        </is>
      </c>
      <c r="K412" t="inlineStr">
        <is>
          <t>Hinson, E. Glenn.</t>
        </is>
      </c>
      <c r="L412" t="inlineStr">
        <is>
          <t>Nashville, Tenn. : Upper Room Books, c1999.</t>
        </is>
      </c>
      <c r="M412" t="inlineStr">
        <is>
          <t>1999</t>
        </is>
      </c>
      <c r="O412" t="inlineStr">
        <is>
          <t>eng</t>
        </is>
      </c>
      <c r="P412" t="inlineStr">
        <is>
          <t>tnu</t>
        </is>
      </c>
      <c r="R412" t="inlineStr">
        <is>
          <t xml:space="preserve">BV </t>
        </is>
      </c>
      <c r="S412" t="n">
        <v>1</v>
      </c>
      <c r="T412" t="n">
        <v>1</v>
      </c>
      <c r="U412" t="inlineStr">
        <is>
          <t>2007-09-20</t>
        </is>
      </c>
      <c r="V412" t="inlineStr">
        <is>
          <t>2007-09-20</t>
        </is>
      </c>
      <c r="W412" t="inlineStr">
        <is>
          <t>2007-09-20</t>
        </is>
      </c>
      <c r="X412" t="inlineStr">
        <is>
          <t>2007-09-20</t>
        </is>
      </c>
      <c r="Y412" t="n">
        <v>121</v>
      </c>
      <c r="Z412" t="n">
        <v>107</v>
      </c>
      <c r="AA412" t="n">
        <v>107</v>
      </c>
      <c r="AB412" t="n">
        <v>1</v>
      </c>
      <c r="AC412" t="n">
        <v>1</v>
      </c>
      <c r="AD412" t="n">
        <v>8</v>
      </c>
      <c r="AE412" t="n">
        <v>8</v>
      </c>
      <c r="AF412" t="n">
        <v>5</v>
      </c>
      <c r="AG412" t="n">
        <v>5</v>
      </c>
      <c r="AH412" t="n">
        <v>2</v>
      </c>
      <c r="AI412" t="n">
        <v>2</v>
      </c>
      <c r="AJ412" t="n">
        <v>2</v>
      </c>
      <c r="AK412" t="n">
        <v>2</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HYPERLINK("https://creighton-primo.hosted.exlibrisgroup.com/primo-explore/search?tab=default_tab&amp;search_scope=EVERYTHING&amp;vid=01CRU&amp;lang=en_US&amp;offset=0&amp;query=any,contains,991005117639702656","Catalog Record")</f>
        <v/>
      </c>
      <c r="AT412">
        <f>HYPERLINK("http://www.worldcat.org/oclc/40595282","WorldCat Record")</f>
        <v/>
      </c>
      <c r="AU412" t="inlineStr">
        <is>
          <t>26265884:eng</t>
        </is>
      </c>
      <c r="AV412" t="inlineStr">
        <is>
          <t>40595282</t>
        </is>
      </c>
      <c r="AW412" t="inlineStr">
        <is>
          <t>991005117639702656</t>
        </is>
      </c>
      <c r="AX412" t="inlineStr">
        <is>
          <t>991005117639702656</t>
        </is>
      </c>
      <c r="AY412" t="inlineStr">
        <is>
          <t>2262114310002656</t>
        </is>
      </c>
      <c r="AZ412" t="inlineStr">
        <is>
          <t>BOOK</t>
        </is>
      </c>
      <c r="BB412" t="inlineStr">
        <is>
          <t>9780835808880</t>
        </is>
      </c>
      <c r="BC412" t="inlineStr">
        <is>
          <t>32285005326219</t>
        </is>
      </c>
      <c r="BD412" t="inlineStr">
        <is>
          <t>893876968</t>
        </is>
      </c>
    </row>
    <row r="413">
      <c r="A413" t="inlineStr">
        <is>
          <t>No</t>
        </is>
      </c>
      <c r="B413" t="inlineStr">
        <is>
          <t>BV4011.6 .L44 1989</t>
        </is>
      </c>
      <c r="C413" t="inlineStr">
        <is>
          <t>0                      BV 4011600L  44          1989</t>
        </is>
      </c>
      <c r="D413" t="inlineStr">
        <is>
          <t>Spirituality and pastoral care / Kenneth Leech.</t>
        </is>
      </c>
      <c r="F413" t="inlineStr">
        <is>
          <t>No</t>
        </is>
      </c>
      <c r="G413" t="inlineStr">
        <is>
          <t>1</t>
        </is>
      </c>
      <c r="H413" t="inlineStr">
        <is>
          <t>No</t>
        </is>
      </c>
      <c r="I413" t="inlineStr">
        <is>
          <t>No</t>
        </is>
      </c>
      <c r="J413" t="inlineStr">
        <is>
          <t>0</t>
        </is>
      </c>
      <c r="K413" t="inlineStr">
        <is>
          <t>Leech, Kenneth, 1939-2015.</t>
        </is>
      </c>
      <c r="L413" t="inlineStr">
        <is>
          <t>Cambridge, Mass. : Cowley Publications, c1989.</t>
        </is>
      </c>
      <c r="M413" t="inlineStr">
        <is>
          <t>1989</t>
        </is>
      </c>
      <c r="O413" t="inlineStr">
        <is>
          <t>eng</t>
        </is>
      </c>
      <c r="P413" t="inlineStr">
        <is>
          <t>mau</t>
        </is>
      </c>
      <c r="R413" t="inlineStr">
        <is>
          <t xml:space="preserve">BV </t>
        </is>
      </c>
      <c r="S413" t="n">
        <v>4</v>
      </c>
      <c r="T413" t="n">
        <v>4</v>
      </c>
      <c r="U413" t="inlineStr">
        <is>
          <t>2005-04-18</t>
        </is>
      </c>
      <c r="V413" t="inlineStr">
        <is>
          <t>2005-04-18</t>
        </is>
      </c>
      <c r="W413" t="inlineStr">
        <is>
          <t>1990-02-26</t>
        </is>
      </c>
      <c r="X413" t="inlineStr">
        <is>
          <t>1990-02-26</t>
        </is>
      </c>
      <c r="Y413" t="n">
        <v>133</v>
      </c>
      <c r="Z413" t="n">
        <v>113</v>
      </c>
      <c r="AA413" t="n">
        <v>148</v>
      </c>
      <c r="AB413" t="n">
        <v>2</v>
      </c>
      <c r="AC413" t="n">
        <v>2</v>
      </c>
      <c r="AD413" t="n">
        <v>6</v>
      </c>
      <c r="AE413" t="n">
        <v>10</v>
      </c>
      <c r="AF413" t="n">
        <v>2</v>
      </c>
      <c r="AG413" t="n">
        <v>3</v>
      </c>
      <c r="AH413" t="n">
        <v>1</v>
      </c>
      <c r="AI413" t="n">
        <v>1</v>
      </c>
      <c r="AJ413" t="n">
        <v>4</v>
      </c>
      <c r="AK413" t="n">
        <v>7</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HYPERLINK("https://creighton-primo.hosted.exlibrisgroup.com/primo-explore/search?tab=default_tab&amp;search_scope=EVERYTHING&amp;vid=01CRU&amp;lang=en_US&amp;offset=0&amp;query=any,contains,991001549549702656","Catalog Record")</f>
        <v/>
      </c>
      <c r="AT413">
        <f>HYPERLINK("http://www.worldcat.org/oclc/20217263","WorldCat Record")</f>
        <v/>
      </c>
      <c r="AU413" t="inlineStr">
        <is>
          <t>138632547:eng</t>
        </is>
      </c>
      <c r="AV413" t="inlineStr">
        <is>
          <t>20217263</t>
        </is>
      </c>
      <c r="AW413" t="inlineStr">
        <is>
          <t>991001549549702656</t>
        </is>
      </c>
      <c r="AX413" t="inlineStr">
        <is>
          <t>991001549549702656</t>
        </is>
      </c>
      <c r="AY413" t="inlineStr">
        <is>
          <t>2271468400002656</t>
        </is>
      </c>
      <c r="AZ413" t="inlineStr">
        <is>
          <t>BOOK</t>
        </is>
      </c>
      <c r="BB413" t="inlineStr">
        <is>
          <t>9780936384849</t>
        </is>
      </c>
      <c r="BC413" t="inlineStr">
        <is>
          <t>32285000041276</t>
        </is>
      </c>
      <c r="BD413" t="inlineStr">
        <is>
          <t>893414303</t>
        </is>
      </c>
    </row>
    <row r="414">
      <c r="A414" t="inlineStr">
        <is>
          <t>No</t>
        </is>
      </c>
      <c r="B414" t="inlineStr">
        <is>
          <t>BV4011.6 .N68 1977</t>
        </is>
      </c>
      <c r="C414" t="inlineStr">
        <is>
          <t>0                      BV 4011600N  68          1977</t>
        </is>
      </c>
      <c r="D414" t="inlineStr">
        <is>
          <t>The living reminder : service and prayer in memory of Jesus Christ / Henri J. M. Nouwen.</t>
        </is>
      </c>
      <c r="F414" t="inlineStr">
        <is>
          <t>No</t>
        </is>
      </c>
      <c r="G414" t="inlineStr">
        <is>
          <t>1</t>
        </is>
      </c>
      <c r="H414" t="inlineStr">
        <is>
          <t>No</t>
        </is>
      </c>
      <c r="I414" t="inlineStr">
        <is>
          <t>No</t>
        </is>
      </c>
      <c r="J414" t="inlineStr">
        <is>
          <t>0</t>
        </is>
      </c>
      <c r="K414" t="inlineStr">
        <is>
          <t>Nouwen, Henri J. M.</t>
        </is>
      </c>
      <c r="L414" t="inlineStr">
        <is>
          <t>New York : Seabury Press, 1977.</t>
        </is>
      </c>
      <c r="M414" t="inlineStr">
        <is>
          <t>1977</t>
        </is>
      </c>
      <c r="O414" t="inlineStr">
        <is>
          <t>eng</t>
        </is>
      </c>
      <c r="P414" t="inlineStr">
        <is>
          <t>nyu</t>
        </is>
      </c>
      <c r="R414" t="inlineStr">
        <is>
          <t xml:space="preserve">BV </t>
        </is>
      </c>
      <c r="S414" t="n">
        <v>3</v>
      </c>
      <c r="T414" t="n">
        <v>3</v>
      </c>
      <c r="U414" t="inlineStr">
        <is>
          <t>2000-07-11</t>
        </is>
      </c>
      <c r="V414" t="inlineStr">
        <is>
          <t>2000-07-11</t>
        </is>
      </c>
      <c r="W414" t="inlineStr">
        <is>
          <t>1992-02-19</t>
        </is>
      </c>
      <c r="X414" t="inlineStr">
        <is>
          <t>1992-02-19</t>
        </is>
      </c>
      <c r="Y414" t="n">
        <v>499</v>
      </c>
      <c r="Z414" t="n">
        <v>440</v>
      </c>
      <c r="AA414" t="n">
        <v>538</v>
      </c>
      <c r="AB414" t="n">
        <v>5</v>
      </c>
      <c r="AC414" t="n">
        <v>7</v>
      </c>
      <c r="AD414" t="n">
        <v>30</v>
      </c>
      <c r="AE414" t="n">
        <v>36</v>
      </c>
      <c r="AF414" t="n">
        <v>10</v>
      </c>
      <c r="AG414" t="n">
        <v>12</v>
      </c>
      <c r="AH414" t="n">
        <v>8</v>
      </c>
      <c r="AI414" t="n">
        <v>9</v>
      </c>
      <c r="AJ414" t="n">
        <v>17</v>
      </c>
      <c r="AK414" t="n">
        <v>19</v>
      </c>
      <c r="AL414" t="n">
        <v>3</v>
      </c>
      <c r="AM414" t="n">
        <v>5</v>
      </c>
      <c r="AN414" t="n">
        <v>0</v>
      </c>
      <c r="AO414" t="n">
        <v>0</v>
      </c>
      <c r="AP414" t="inlineStr">
        <is>
          <t>No</t>
        </is>
      </c>
      <c r="AQ414" t="inlineStr">
        <is>
          <t>Yes</t>
        </is>
      </c>
      <c r="AR414">
        <f>HYPERLINK("http://catalog.hathitrust.org/Record/006019257","HathiTrust Record")</f>
        <v/>
      </c>
      <c r="AS414">
        <f>HYPERLINK("https://creighton-primo.hosted.exlibrisgroup.com/primo-explore/search?tab=default_tab&amp;search_scope=EVERYTHING&amp;vid=01CRU&amp;lang=en_US&amp;offset=0&amp;query=any,contains,991004202099702656","Catalog Record")</f>
        <v/>
      </c>
      <c r="AT414">
        <f>HYPERLINK("http://www.worldcat.org/oclc/2655621","WorldCat Record")</f>
        <v/>
      </c>
      <c r="AU414" t="inlineStr">
        <is>
          <t>513290:eng</t>
        </is>
      </c>
      <c r="AV414" t="inlineStr">
        <is>
          <t>2655621</t>
        </is>
      </c>
      <c r="AW414" t="inlineStr">
        <is>
          <t>991004202099702656</t>
        </is>
      </c>
      <c r="AX414" t="inlineStr">
        <is>
          <t>991004202099702656</t>
        </is>
      </c>
      <c r="AY414" t="inlineStr">
        <is>
          <t>2256199340002656</t>
        </is>
      </c>
      <c r="AZ414" t="inlineStr">
        <is>
          <t>BOOK</t>
        </is>
      </c>
      <c r="BB414" t="inlineStr">
        <is>
          <t>9780816412198</t>
        </is>
      </c>
      <c r="BC414" t="inlineStr">
        <is>
          <t>32285000929629</t>
        </is>
      </c>
      <c r="BD414" t="inlineStr">
        <is>
          <t>893624472</t>
        </is>
      </c>
    </row>
    <row r="415">
      <c r="A415" t="inlineStr">
        <is>
          <t>No</t>
        </is>
      </c>
      <c r="B415" t="inlineStr">
        <is>
          <t>BV4012 .C315</t>
        </is>
      </c>
      <c r="C415" t="inlineStr">
        <is>
          <t>0                      BV 4012000C  315</t>
        </is>
      </c>
      <c r="D415" t="inlineStr">
        <is>
          <t>Helping the helpers to help : mental health consultation to aid clergymen in pastoral work / by Ruth B. Caplan in collaboration with Gerald Caplan [and others]</t>
        </is>
      </c>
      <c r="F415" t="inlineStr">
        <is>
          <t>No</t>
        </is>
      </c>
      <c r="G415" t="inlineStr">
        <is>
          <t>1</t>
        </is>
      </c>
      <c r="H415" t="inlineStr">
        <is>
          <t>Yes</t>
        </is>
      </c>
      <c r="I415" t="inlineStr">
        <is>
          <t>No</t>
        </is>
      </c>
      <c r="J415" t="inlineStr">
        <is>
          <t>0</t>
        </is>
      </c>
      <c r="K415" t="inlineStr">
        <is>
          <t>Caplan, Ruth B.</t>
        </is>
      </c>
      <c r="L415" t="inlineStr">
        <is>
          <t>New York, Seabury Press [1972]</t>
        </is>
      </c>
      <c r="M415" t="inlineStr">
        <is>
          <t>1972</t>
        </is>
      </c>
      <c r="O415" t="inlineStr">
        <is>
          <t>eng</t>
        </is>
      </c>
      <c r="P415" t="inlineStr">
        <is>
          <t>nyu</t>
        </is>
      </c>
      <c r="R415" t="inlineStr">
        <is>
          <t xml:space="preserve">BV </t>
        </is>
      </c>
      <c r="S415" t="n">
        <v>2</v>
      </c>
      <c r="T415" t="n">
        <v>2</v>
      </c>
      <c r="U415" t="inlineStr">
        <is>
          <t>2007-12-12</t>
        </is>
      </c>
      <c r="V415" t="inlineStr">
        <is>
          <t>2007-12-12</t>
        </is>
      </c>
      <c r="W415" t="inlineStr">
        <is>
          <t>1992-02-19</t>
        </is>
      </c>
      <c r="X415" t="inlineStr">
        <is>
          <t>1992-02-19</t>
        </is>
      </c>
      <c r="Y415" t="n">
        <v>274</v>
      </c>
      <c r="Z415" t="n">
        <v>243</v>
      </c>
      <c r="AA415" t="n">
        <v>245</v>
      </c>
      <c r="AB415" t="n">
        <v>2</v>
      </c>
      <c r="AC415" t="n">
        <v>2</v>
      </c>
      <c r="AD415" t="n">
        <v>10</v>
      </c>
      <c r="AE415" t="n">
        <v>10</v>
      </c>
      <c r="AF415" t="n">
        <v>2</v>
      </c>
      <c r="AG415" t="n">
        <v>2</v>
      </c>
      <c r="AH415" t="n">
        <v>2</v>
      </c>
      <c r="AI415" t="n">
        <v>2</v>
      </c>
      <c r="AJ415" t="n">
        <v>8</v>
      </c>
      <c r="AK415" t="n">
        <v>8</v>
      </c>
      <c r="AL415" t="n">
        <v>0</v>
      </c>
      <c r="AM415" t="n">
        <v>0</v>
      </c>
      <c r="AN415" t="n">
        <v>0</v>
      </c>
      <c r="AO415" t="n">
        <v>0</v>
      </c>
      <c r="AP415" t="inlineStr">
        <is>
          <t>No</t>
        </is>
      </c>
      <c r="AQ415" t="inlineStr">
        <is>
          <t>Yes</t>
        </is>
      </c>
      <c r="AR415">
        <f>HYPERLINK("http://catalog.hathitrust.org/Record/001414391","HathiTrust Record")</f>
        <v/>
      </c>
      <c r="AS415">
        <f>HYPERLINK("https://creighton-primo.hosted.exlibrisgroup.com/primo-explore/search?tab=default_tab&amp;search_scope=EVERYTHING&amp;vid=01CRU&amp;lang=en_US&amp;offset=0&amp;query=any,contains,991001763849702656","Catalog Record")</f>
        <v/>
      </c>
      <c r="AT415">
        <f>HYPERLINK("http://www.worldcat.org/oclc/488486","WorldCat Record")</f>
        <v/>
      </c>
      <c r="AU415" t="inlineStr">
        <is>
          <t>375552159:eng</t>
        </is>
      </c>
      <c r="AV415" t="inlineStr">
        <is>
          <t>488486</t>
        </is>
      </c>
      <c r="AW415" t="inlineStr">
        <is>
          <t>991001763849702656</t>
        </is>
      </c>
      <c r="AX415" t="inlineStr">
        <is>
          <t>991001763849702656</t>
        </is>
      </c>
      <c r="AY415" t="inlineStr">
        <is>
          <t>2256152050002656</t>
        </is>
      </c>
      <c r="AZ415" t="inlineStr">
        <is>
          <t>BOOK</t>
        </is>
      </c>
      <c r="BB415" t="inlineStr">
        <is>
          <t>9780816402397</t>
        </is>
      </c>
      <c r="BC415" t="inlineStr">
        <is>
          <t>32285000929637</t>
        </is>
      </c>
      <c r="BD415" t="inlineStr">
        <is>
          <t>893509889</t>
        </is>
      </c>
    </row>
    <row r="416">
      <c r="A416" t="inlineStr">
        <is>
          <t>No</t>
        </is>
      </c>
      <c r="B416" t="inlineStr">
        <is>
          <t>BV4012 .C34 1965</t>
        </is>
      </c>
      <c r="C416" t="inlineStr">
        <is>
          <t>0                      BV 4012000C  34          1965</t>
        </is>
      </c>
      <c r="D416" t="inlineStr">
        <is>
          <t>Psychological aspects of spiritual development : proceedings of the Institutes of Catholic Pastoral Counseling and of the Conferences for Religious Superiors of Men under the auspices of the director of summer session and workshops, the Catholic University of America / Edited by Michael J. O'Brien and Raymond J. Steimel.</t>
        </is>
      </c>
      <c r="F416" t="inlineStr">
        <is>
          <t>No</t>
        </is>
      </c>
      <c r="G416" t="inlineStr">
        <is>
          <t>1</t>
        </is>
      </c>
      <c r="H416" t="inlineStr">
        <is>
          <t>No</t>
        </is>
      </c>
      <c r="I416" t="inlineStr">
        <is>
          <t>No</t>
        </is>
      </c>
      <c r="J416" t="inlineStr">
        <is>
          <t>0</t>
        </is>
      </c>
      <c r="K416" t="inlineStr">
        <is>
          <t>Catholic University of America. Institute in Catholic Pastoral Counseling.</t>
        </is>
      </c>
      <c r="L416" t="inlineStr">
        <is>
          <t>Washington : Catholic University of America Press, [cover 1964, c1965]</t>
        </is>
      </c>
      <c r="M416" t="inlineStr">
        <is>
          <t>1964</t>
        </is>
      </c>
      <c r="O416" t="inlineStr">
        <is>
          <t>eng</t>
        </is>
      </c>
      <c r="P416" t="inlineStr">
        <is>
          <t>dcu</t>
        </is>
      </c>
      <c r="R416" t="inlineStr">
        <is>
          <t xml:space="preserve">BV </t>
        </is>
      </c>
      <c r="S416" t="n">
        <v>2</v>
      </c>
      <c r="T416" t="n">
        <v>2</v>
      </c>
      <c r="U416" t="inlineStr">
        <is>
          <t>2002-07-26</t>
        </is>
      </c>
      <c r="V416" t="inlineStr">
        <is>
          <t>2002-07-26</t>
        </is>
      </c>
      <c r="W416" t="inlineStr">
        <is>
          <t>1992-02-19</t>
        </is>
      </c>
      <c r="X416" t="inlineStr">
        <is>
          <t>1992-02-19</t>
        </is>
      </c>
      <c r="Y416" t="n">
        <v>97</v>
      </c>
      <c r="Z416" t="n">
        <v>92</v>
      </c>
      <c r="AA416" t="n">
        <v>98</v>
      </c>
      <c r="AB416" t="n">
        <v>1</v>
      </c>
      <c r="AC416" t="n">
        <v>1</v>
      </c>
      <c r="AD416" t="n">
        <v>13</v>
      </c>
      <c r="AE416" t="n">
        <v>13</v>
      </c>
      <c r="AF416" t="n">
        <v>4</v>
      </c>
      <c r="AG416" t="n">
        <v>4</v>
      </c>
      <c r="AH416" t="n">
        <v>3</v>
      </c>
      <c r="AI416" t="n">
        <v>3</v>
      </c>
      <c r="AJ416" t="n">
        <v>12</v>
      </c>
      <c r="AK416" t="n">
        <v>12</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HYPERLINK("https://creighton-primo.hosted.exlibrisgroup.com/primo-explore/search?tab=default_tab&amp;search_scope=EVERYTHING&amp;vid=01CRU&amp;lang=en_US&amp;offset=0&amp;query=any,contains,991004200249702656","Catalog Record")</f>
        <v/>
      </c>
      <c r="AT416">
        <f>HYPERLINK("http://www.worldcat.org/oclc/2650218","WorldCat Record")</f>
        <v/>
      </c>
      <c r="AU416" t="inlineStr">
        <is>
          <t>5467867:eng</t>
        </is>
      </c>
      <c r="AV416" t="inlineStr">
        <is>
          <t>2650218</t>
        </is>
      </c>
      <c r="AW416" t="inlineStr">
        <is>
          <t>991004200249702656</t>
        </is>
      </c>
      <c r="AX416" t="inlineStr">
        <is>
          <t>991004200249702656</t>
        </is>
      </c>
      <c r="AY416" t="inlineStr">
        <is>
          <t>2261268560002656</t>
        </is>
      </c>
      <c r="AZ416" t="inlineStr">
        <is>
          <t>BOOK</t>
        </is>
      </c>
      <c r="BC416" t="inlineStr">
        <is>
          <t>32285000929645</t>
        </is>
      </c>
      <c r="BD416" t="inlineStr">
        <is>
          <t>893788399</t>
        </is>
      </c>
    </row>
    <row r="417">
      <c r="A417" t="inlineStr">
        <is>
          <t>No</t>
        </is>
      </c>
      <c r="B417" t="inlineStr">
        <is>
          <t>BV4012 .G76</t>
        </is>
      </c>
      <c r="C417" t="inlineStr">
        <is>
          <t>0                      BV 4012000G  76</t>
        </is>
      </c>
      <c r="D417" t="inlineStr">
        <is>
          <t>God and Freud / by Leonard Gross.</t>
        </is>
      </c>
      <c r="F417" t="inlineStr">
        <is>
          <t>No</t>
        </is>
      </c>
      <c r="G417" t="inlineStr">
        <is>
          <t>1</t>
        </is>
      </c>
      <c r="H417" t="inlineStr">
        <is>
          <t>No</t>
        </is>
      </c>
      <c r="I417" t="inlineStr">
        <is>
          <t>No</t>
        </is>
      </c>
      <c r="J417" t="inlineStr">
        <is>
          <t>0</t>
        </is>
      </c>
      <c r="K417" t="inlineStr">
        <is>
          <t>Gross, Leonard.</t>
        </is>
      </c>
      <c r="L417" t="inlineStr">
        <is>
          <t>New York, D. McKay C. [1959]</t>
        </is>
      </c>
      <c r="M417" t="inlineStr">
        <is>
          <t>1959</t>
        </is>
      </c>
      <c r="O417" t="inlineStr">
        <is>
          <t>eng</t>
        </is>
      </c>
      <c r="P417" t="inlineStr">
        <is>
          <t>___</t>
        </is>
      </c>
      <c r="R417" t="inlineStr">
        <is>
          <t xml:space="preserve">BV </t>
        </is>
      </c>
      <c r="S417" t="n">
        <v>10</v>
      </c>
      <c r="T417" t="n">
        <v>10</v>
      </c>
      <c r="U417" t="inlineStr">
        <is>
          <t>2001-02-21</t>
        </is>
      </c>
      <c r="V417" t="inlineStr">
        <is>
          <t>2001-02-21</t>
        </is>
      </c>
      <c r="W417" t="inlineStr">
        <is>
          <t>1990-03-20</t>
        </is>
      </c>
      <c r="X417" t="inlineStr">
        <is>
          <t>1990-03-20</t>
        </is>
      </c>
      <c r="Y417" t="n">
        <v>280</v>
      </c>
      <c r="Z417" t="n">
        <v>267</v>
      </c>
      <c r="AA417" t="n">
        <v>270</v>
      </c>
      <c r="AB417" t="n">
        <v>4</v>
      </c>
      <c r="AC417" t="n">
        <v>4</v>
      </c>
      <c r="AD417" t="n">
        <v>15</v>
      </c>
      <c r="AE417" t="n">
        <v>15</v>
      </c>
      <c r="AF417" t="n">
        <v>6</v>
      </c>
      <c r="AG417" t="n">
        <v>6</v>
      </c>
      <c r="AH417" t="n">
        <v>3</v>
      </c>
      <c r="AI417" t="n">
        <v>3</v>
      </c>
      <c r="AJ417" t="n">
        <v>9</v>
      </c>
      <c r="AK417" t="n">
        <v>9</v>
      </c>
      <c r="AL417" t="n">
        <v>3</v>
      </c>
      <c r="AM417" t="n">
        <v>3</v>
      </c>
      <c r="AN417" t="n">
        <v>0</v>
      </c>
      <c r="AO417" t="n">
        <v>0</v>
      </c>
      <c r="AP417" t="inlineStr">
        <is>
          <t>No</t>
        </is>
      </c>
      <c r="AQ417" t="inlineStr">
        <is>
          <t>Yes</t>
        </is>
      </c>
      <c r="AR417">
        <f>HYPERLINK("http://catalog.hathitrust.org/Record/101870547","HathiTrust Record")</f>
        <v/>
      </c>
      <c r="AS417">
        <f>HYPERLINK("https://creighton-primo.hosted.exlibrisgroup.com/primo-explore/search?tab=default_tab&amp;search_scope=EVERYTHING&amp;vid=01CRU&amp;lang=en_US&amp;offset=0&amp;query=any,contains,991003568389702656","Catalog Record")</f>
        <v/>
      </c>
      <c r="AT417">
        <f>HYPERLINK("http://www.worldcat.org/oclc/1142530","WorldCat Record")</f>
        <v/>
      </c>
      <c r="AU417" t="inlineStr">
        <is>
          <t>2064699:eng</t>
        </is>
      </c>
      <c r="AV417" t="inlineStr">
        <is>
          <t>1142530</t>
        </is>
      </c>
      <c r="AW417" t="inlineStr">
        <is>
          <t>991003568389702656</t>
        </is>
      </c>
      <c r="AX417" t="inlineStr">
        <is>
          <t>991003568389702656</t>
        </is>
      </c>
      <c r="AY417" t="inlineStr">
        <is>
          <t>2264350980002656</t>
        </is>
      </c>
      <c r="AZ417" t="inlineStr">
        <is>
          <t>BOOK</t>
        </is>
      </c>
      <c r="BC417" t="inlineStr">
        <is>
          <t>32285000087337</t>
        </is>
      </c>
      <c r="BD417" t="inlineStr">
        <is>
          <t>893699134</t>
        </is>
      </c>
    </row>
    <row r="418">
      <c r="A418" t="inlineStr">
        <is>
          <t>No</t>
        </is>
      </c>
      <c r="B418" t="inlineStr">
        <is>
          <t>BV4012 .H57</t>
        </is>
      </c>
      <c r="C418" t="inlineStr">
        <is>
          <t>0                      BV 4012000H  57</t>
        </is>
      </c>
      <c r="D418" t="inlineStr">
        <is>
          <t>Pastoral counseling / by Seward Hiltner.</t>
        </is>
      </c>
      <c r="F418" t="inlineStr">
        <is>
          <t>No</t>
        </is>
      </c>
      <c r="G418" t="inlineStr">
        <is>
          <t>1</t>
        </is>
      </c>
      <c r="H418" t="inlineStr">
        <is>
          <t>No</t>
        </is>
      </c>
      <c r="I418" t="inlineStr">
        <is>
          <t>No</t>
        </is>
      </c>
      <c r="J418" t="inlineStr">
        <is>
          <t>0</t>
        </is>
      </c>
      <c r="K418" t="inlineStr">
        <is>
          <t>Hiltner, Seward, 1909-1984.</t>
        </is>
      </c>
      <c r="L418" t="inlineStr">
        <is>
          <t>New York, Abingdon-Cokesbury Press [1949]</t>
        </is>
      </c>
      <c r="M418" t="inlineStr">
        <is>
          <t>1949</t>
        </is>
      </c>
      <c r="O418" t="inlineStr">
        <is>
          <t>eng</t>
        </is>
      </c>
      <c r="P418" t="inlineStr">
        <is>
          <t>nyu</t>
        </is>
      </c>
      <c r="R418" t="inlineStr">
        <is>
          <t xml:space="preserve">BV </t>
        </is>
      </c>
      <c r="S418" t="n">
        <v>3</v>
      </c>
      <c r="T418" t="n">
        <v>3</v>
      </c>
      <c r="U418" t="inlineStr">
        <is>
          <t>1993-07-25</t>
        </is>
      </c>
      <c r="V418" t="inlineStr">
        <is>
          <t>1993-07-25</t>
        </is>
      </c>
      <c r="W418" t="inlineStr">
        <is>
          <t>1991-12-13</t>
        </is>
      </c>
      <c r="X418" t="inlineStr">
        <is>
          <t>1991-12-13</t>
        </is>
      </c>
      <c r="Y418" t="n">
        <v>575</v>
      </c>
      <c r="Z418" t="n">
        <v>489</v>
      </c>
      <c r="AA418" t="n">
        <v>520</v>
      </c>
      <c r="AB418" t="n">
        <v>5</v>
      </c>
      <c r="AC418" t="n">
        <v>5</v>
      </c>
      <c r="AD418" t="n">
        <v>24</v>
      </c>
      <c r="AE418" t="n">
        <v>26</v>
      </c>
      <c r="AF418" t="n">
        <v>11</v>
      </c>
      <c r="AG418" t="n">
        <v>12</v>
      </c>
      <c r="AH418" t="n">
        <v>2</v>
      </c>
      <c r="AI418" t="n">
        <v>2</v>
      </c>
      <c r="AJ418" t="n">
        <v>12</v>
      </c>
      <c r="AK418" t="n">
        <v>13</v>
      </c>
      <c r="AL418" t="n">
        <v>3</v>
      </c>
      <c r="AM418" t="n">
        <v>3</v>
      </c>
      <c r="AN418" t="n">
        <v>0</v>
      </c>
      <c r="AO418" t="n">
        <v>0</v>
      </c>
      <c r="AP418" t="inlineStr">
        <is>
          <t>No</t>
        </is>
      </c>
      <c r="AQ418" t="inlineStr">
        <is>
          <t>Yes</t>
        </is>
      </c>
      <c r="AR418">
        <f>HYPERLINK("http://catalog.hathitrust.org/Record/001414402","HathiTrust Record")</f>
        <v/>
      </c>
      <c r="AS418">
        <f>HYPERLINK("https://creighton-primo.hosted.exlibrisgroup.com/primo-explore/search?tab=default_tab&amp;search_scope=EVERYTHING&amp;vid=01CRU&amp;lang=en_US&amp;offset=0&amp;query=any,contains,991002992949702656","Catalog Record")</f>
        <v/>
      </c>
      <c r="AT418">
        <f>HYPERLINK("http://www.worldcat.org/oclc/31929455","WorldCat Record")</f>
        <v/>
      </c>
      <c r="AU418" t="inlineStr">
        <is>
          <t>149092748:eng</t>
        </is>
      </c>
      <c r="AV418" t="inlineStr">
        <is>
          <t>31929455</t>
        </is>
      </c>
      <c r="AW418" t="inlineStr">
        <is>
          <t>991002992949702656</t>
        </is>
      </c>
      <c r="AX418" t="inlineStr">
        <is>
          <t>991002992949702656</t>
        </is>
      </c>
      <c r="AY418" t="inlineStr">
        <is>
          <t>2255186640002656</t>
        </is>
      </c>
      <c r="AZ418" t="inlineStr">
        <is>
          <t>BOOK</t>
        </is>
      </c>
      <c r="BC418" t="inlineStr">
        <is>
          <t>32285000879337</t>
        </is>
      </c>
      <c r="BD418" t="inlineStr">
        <is>
          <t>893251889</t>
        </is>
      </c>
    </row>
    <row r="419">
      <c r="A419" t="inlineStr">
        <is>
          <t>No</t>
        </is>
      </c>
      <c r="B419" t="inlineStr">
        <is>
          <t>BV4012 .I58 1955</t>
        </is>
      </c>
      <c r="C419" t="inlineStr">
        <is>
          <t>0                      BV 4012000I  58          1955</t>
        </is>
      </c>
      <c r="D419" t="inlineStr">
        <is>
          <t>Personality and sexual problems in pastoral psychology / edited by William C. Bier.</t>
        </is>
      </c>
      <c r="F419" t="inlineStr">
        <is>
          <t>No</t>
        </is>
      </c>
      <c r="G419" t="inlineStr">
        <is>
          <t>1</t>
        </is>
      </c>
      <c r="H419" t="inlineStr">
        <is>
          <t>No</t>
        </is>
      </c>
      <c r="I419" t="inlineStr">
        <is>
          <t>No</t>
        </is>
      </c>
      <c r="J419" t="inlineStr">
        <is>
          <t>0</t>
        </is>
      </c>
      <c r="K419" t="inlineStr">
        <is>
          <t>Institute of Pastoral Psychology (1st : 1955 : Fordham University)</t>
        </is>
      </c>
      <c r="L419" t="inlineStr">
        <is>
          <t>New York : Fordham University Press, [1964]</t>
        </is>
      </c>
      <c r="M419" t="inlineStr">
        <is>
          <t>1964</t>
        </is>
      </c>
      <c r="O419" t="inlineStr">
        <is>
          <t>eng</t>
        </is>
      </c>
      <c r="P419" t="inlineStr">
        <is>
          <t xml:space="preserve">xx </t>
        </is>
      </c>
      <c r="Q419" t="inlineStr">
        <is>
          <t>Pastoral psychology series, no.1</t>
        </is>
      </c>
      <c r="R419" t="inlineStr">
        <is>
          <t xml:space="preserve">BV </t>
        </is>
      </c>
      <c r="S419" t="n">
        <v>1</v>
      </c>
      <c r="T419" t="n">
        <v>1</v>
      </c>
      <c r="U419" t="inlineStr">
        <is>
          <t>2007-12-12</t>
        </is>
      </c>
      <c r="V419" t="inlineStr">
        <is>
          <t>2007-12-12</t>
        </is>
      </c>
      <c r="W419" t="inlineStr">
        <is>
          <t>1992-02-20</t>
        </is>
      </c>
      <c r="X419" t="inlineStr">
        <is>
          <t>1992-02-20</t>
        </is>
      </c>
      <c r="Y419" t="n">
        <v>388</v>
      </c>
      <c r="Z419" t="n">
        <v>356</v>
      </c>
      <c r="AA419" t="n">
        <v>392</v>
      </c>
      <c r="AB419" t="n">
        <v>3</v>
      </c>
      <c r="AC419" t="n">
        <v>4</v>
      </c>
      <c r="AD419" t="n">
        <v>29</v>
      </c>
      <c r="AE419" t="n">
        <v>31</v>
      </c>
      <c r="AF419" t="n">
        <v>13</v>
      </c>
      <c r="AG419" t="n">
        <v>14</v>
      </c>
      <c r="AH419" t="n">
        <v>6</v>
      </c>
      <c r="AI419" t="n">
        <v>7</v>
      </c>
      <c r="AJ419" t="n">
        <v>20</v>
      </c>
      <c r="AK419" t="n">
        <v>21</v>
      </c>
      <c r="AL419" t="n">
        <v>1</v>
      </c>
      <c r="AM419" t="n">
        <v>1</v>
      </c>
      <c r="AN419" t="n">
        <v>0</v>
      </c>
      <c r="AO419" t="n">
        <v>0</v>
      </c>
      <c r="AP419" t="inlineStr">
        <is>
          <t>No</t>
        </is>
      </c>
      <c r="AQ419" t="inlineStr">
        <is>
          <t>Yes</t>
        </is>
      </c>
      <c r="AR419">
        <f>HYPERLINK("http://catalog.hathitrust.org/Record/001400956","HathiTrust Record")</f>
        <v/>
      </c>
      <c r="AS419">
        <f>HYPERLINK("https://creighton-primo.hosted.exlibrisgroup.com/primo-explore/search?tab=default_tab&amp;search_scope=EVERYTHING&amp;vid=01CRU&amp;lang=en_US&amp;offset=0&amp;query=any,contains,991002758399702656","Catalog Record")</f>
        <v/>
      </c>
      <c r="AT419">
        <f>HYPERLINK("http://www.worldcat.org/oclc/427172","WorldCat Record")</f>
        <v/>
      </c>
      <c r="AU419" t="inlineStr">
        <is>
          <t>46787177:eng</t>
        </is>
      </c>
      <c r="AV419" t="inlineStr">
        <is>
          <t>427172</t>
        </is>
      </c>
      <c r="AW419" t="inlineStr">
        <is>
          <t>991002758399702656</t>
        </is>
      </c>
      <c r="AX419" t="inlineStr">
        <is>
          <t>991002758399702656</t>
        </is>
      </c>
      <c r="AY419" t="inlineStr">
        <is>
          <t>2265534790002656</t>
        </is>
      </c>
      <c r="AZ419" t="inlineStr">
        <is>
          <t>BOOK</t>
        </is>
      </c>
      <c r="BC419" t="inlineStr">
        <is>
          <t>32285000929710</t>
        </is>
      </c>
      <c r="BD419" t="inlineStr">
        <is>
          <t>893245593</t>
        </is>
      </c>
    </row>
    <row r="420">
      <c r="A420" t="inlineStr">
        <is>
          <t>No</t>
        </is>
      </c>
      <c r="B420" t="inlineStr">
        <is>
          <t>BV4012 .W4 1981</t>
        </is>
      </c>
      <c r="C420" t="inlineStr">
        <is>
          <t>0                      BV 4012000W  4           1981</t>
        </is>
      </c>
      <c r="D420" t="inlineStr">
        <is>
          <t>Redemptive intimacy : a new perspective for the journey to adult faith / Dick Westley.</t>
        </is>
      </c>
      <c r="F420" t="inlineStr">
        <is>
          <t>No</t>
        </is>
      </c>
      <c r="G420" t="inlineStr">
        <is>
          <t>1</t>
        </is>
      </c>
      <c r="H420" t="inlineStr">
        <is>
          <t>No</t>
        </is>
      </c>
      <c r="I420" t="inlineStr">
        <is>
          <t>No</t>
        </is>
      </c>
      <c r="J420" t="inlineStr">
        <is>
          <t>0</t>
        </is>
      </c>
      <c r="K420" t="inlineStr">
        <is>
          <t>Westley, Dick.</t>
        </is>
      </c>
      <c r="L420" t="inlineStr">
        <is>
          <t>Mystic, Conn. : Twenty-third Publications, c1981.</t>
        </is>
      </c>
      <c r="M420" t="inlineStr">
        <is>
          <t>1981</t>
        </is>
      </c>
      <c r="O420" t="inlineStr">
        <is>
          <t>eng</t>
        </is>
      </c>
      <c r="P420" t="inlineStr">
        <is>
          <t>ctu</t>
        </is>
      </c>
      <c r="R420" t="inlineStr">
        <is>
          <t xml:space="preserve">BV </t>
        </is>
      </c>
      <c r="S420" t="n">
        <v>2</v>
      </c>
      <c r="T420" t="n">
        <v>2</v>
      </c>
      <c r="U420" t="inlineStr">
        <is>
          <t>2007-06-11</t>
        </is>
      </c>
      <c r="V420" t="inlineStr">
        <is>
          <t>2007-06-11</t>
        </is>
      </c>
      <c r="W420" t="inlineStr">
        <is>
          <t>2007-06-11</t>
        </is>
      </c>
      <c r="X420" t="inlineStr">
        <is>
          <t>2007-06-11</t>
        </is>
      </c>
      <c r="Y420" t="n">
        <v>210</v>
      </c>
      <c r="Z420" t="n">
        <v>182</v>
      </c>
      <c r="AA420" t="n">
        <v>188</v>
      </c>
      <c r="AB420" t="n">
        <v>3</v>
      </c>
      <c r="AC420" t="n">
        <v>3</v>
      </c>
      <c r="AD420" t="n">
        <v>17</v>
      </c>
      <c r="AE420" t="n">
        <v>17</v>
      </c>
      <c r="AF420" t="n">
        <v>3</v>
      </c>
      <c r="AG420" t="n">
        <v>3</v>
      </c>
      <c r="AH420" t="n">
        <v>5</v>
      </c>
      <c r="AI420" t="n">
        <v>5</v>
      </c>
      <c r="AJ420" t="n">
        <v>13</v>
      </c>
      <c r="AK420" t="n">
        <v>13</v>
      </c>
      <c r="AL420" t="n">
        <v>1</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HYPERLINK("https://creighton-primo.hosted.exlibrisgroup.com/primo-explore/search?tab=default_tab&amp;search_scope=EVERYTHING&amp;vid=01CRU&amp;lang=en_US&amp;offset=0&amp;query=any,contains,991005090509702656","Catalog Record")</f>
        <v/>
      </c>
      <c r="AT420">
        <f>HYPERLINK("http://www.worldcat.org/oclc/7628073","WorldCat Record")</f>
        <v/>
      </c>
      <c r="AU420" t="inlineStr">
        <is>
          <t>28885779:eng</t>
        </is>
      </c>
      <c r="AV420" t="inlineStr">
        <is>
          <t>7628073</t>
        </is>
      </c>
      <c r="AW420" t="inlineStr">
        <is>
          <t>991005090509702656</t>
        </is>
      </c>
      <c r="AX420" t="inlineStr">
        <is>
          <t>991005090509702656</t>
        </is>
      </c>
      <c r="AY420" t="inlineStr">
        <is>
          <t>2263065870002656</t>
        </is>
      </c>
      <c r="AZ420" t="inlineStr">
        <is>
          <t>BOOK</t>
        </is>
      </c>
      <c r="BB420" t="inlineStr">
        <is>
          <t>9780896221239</t>
        </is>
      </c>
      <c r="BC420" t="inlineStr">
        <is>
          <t>32285005316319</t>
        </is>
      </c>
      <c r="BD420" t="inlineStr">
        <is>
          <t>893326138</t>
        </is>
      </c>
    </row>
    <row r="421">
      <c r="A421" t="inlineStr">
        <is>
          <t>No</t>
        </is>
      </c>
      <c r="B421" t="inlineStr">
        <is>
          <t>BV4012.2 .C28</t>
        </is>
      </c>
      <c r="C421" t="inlineStr">
        <is>
          <t>0                      BV 4012200C  28</t>
        </is>
      </c>
      <c r="D421" t="inlineStr">
        <is>
          <t>Care for the dying : resources of theology / edited with an introd. by Richard N. Soulen.</t>
        </is>
      </c>
      <c r="F421" t="inlineStr">
        <is>
          <t>No</t>
        </is>
      </c>
      <c r="G421" t="inlineStr">
        <is>
          <t>1</t>
        </is>
      </c>
      <c r="H421" t="inlineStr">
        <is>
          <t>No</t>
        </is>
      </c>
      <c r="I421" t="inlineStr">
        <is>
          <t>No</t>
        </is>
      </c>
      <c r="J421" t="inlineStr">
        <is>
          <t>0</t>
        </is>
      </c>
      <c r="L421" t="inlineStr">
        <is>
          <t>Atlanta : John Knox Press, [1975]</t>
        </is>
      </c>
      <c r="M421" t="inlineStr">
        <is>
          <t>1975</t>
        </is>
      </c>
      <c r="O421" t="inlineStr">
        <is>
          <t>eng</t>
        </is>
      </c>
      <c r="P421" t="inlineStr">
        <is>
          <t>gau</t>
        </is>
      </c>
      <c r="R421" t="inlineStr">
        <is>
          <t xml:space="preserve">BV </t>
        </is>
      </c>
      <c r="S421" t="n">
        <v>3</v>
      </c>
      <c r="T421" t="n">
        <v>3</v>
      </c>
      <c r="U421" t="inlineStr">
        <is>
          <t>1992-01-28</t>
        </is>
      </c>
      <c r="V421" t="inlineStr">
        <is>
          <t>1992-01-28</t>
        </is>
      </c>
      <c r="W421" t="inlineStr">
        <is>
          <t>1991-12-13</t>
        </is>
      </c>
      <c r="X421" t="inlineStr">
        <is>
          <t>1991-12-13</t>
        </is>
      </c>
      <c r="Y421" t="n">
        <v>323</v>
      </c>
      <c r="Z421" t="n">
        <v>283</v>
      </c>
      <c r="AA421" t="n">
        <v>290</v>
      </c>
      <c r="AB421" t="n">
        <v>4</v>
      </c>
      <c r="AC421" t="n">
        <v>4</v>
      </c>
      <c r="AD421" t="n">
        <v>17</v>
      </c>
      <c r="AE421" t="n">
        <v>17</v>
      </c>
      <c r="AF421" t="n">
        <v>6</v>
      </c>
      <c r="AG421" t="n">
        <v>6</v>
      </c>
      <c r="AH421" t="n">
        <v>2</v>
      </c>
      <c r="AI421" t="n">
        <v>2</v>
      </c>
      <c r="AJ421" t="n">
        <v>9</v>
      </c>
      <c r="AK421" t="n">
        <v>9</v>
      </c>
      <c r="AL421" t="n">
        <v>2</v>
      </c>
      <c r="AM421" t="n">
        <v>2</v>
      </c>
      <c r="AN421" t="n">
        <v>0</v>
      </c>
      <c r="AO421" t="n">
        <v>0</v>
      </c>
      <c r="AP421" t="inlineStr">
        <is>
          <t>No</t>
        </is>
      </c>
      <c r="AQ421" t="inlineStr">
        <is>
          <t>Yes</t>
        </is>
      </c>
      <c r="AR421">
        <f>HYPERLINK("http://catalog.hathitrust.org/Record/000019837","HathiTrust Record")</f>
        <v/>
      </c>
      <c r="AS421">
        <f>HYPERLINK("https://creighton-primo.hosted.exlibrisgroup.com/primo-explore/search?tab=default_tab&amp;search_scope=EVERYTHING&amp;vid=01CRU&amp;lang=en_US&amp;offset=0&amp;query=any,contains,991003807279702656","Catalog Record")</f>
        <v/>
      </c>
      <c r="AT421">
        <f>HYPERLINK("http://www.worldcat.org/oclc/1531556","WorldCat Record")</f>
        <v/>
      </c>
      <c r="AU421" t="inlineStr">
        <is>
          <t>457666:eng</t>
        </is>
      </c>
      <c r="AV421" t="inlineStr">
        <is>
          <t>1531556</t>
        </is>
      </c>
      <c r="AW421" t="inlineStr">
        <is>
          <t>991003807279702656</t>
        </is>
      </c>
      <c r="AX421" t="inlineStr">
        <is>
          <t>991003807279702656</t>
        </is>
      </c>
      <c r="AY421" t="inlineStr">
        <is>
          <t>2271874800002656</t>
        </is>
      </c>
      <c r="AZ421" t="inlineStr">
        <is>
          <t>BOOK</t>
        </is>
      </c>
      <c r="BB421" t="inlineStr">
        <is>
          <t>9780804210980</t>
        </is>
      </c>
      <c r="BC421" t="inlineStr">
        <is>
          <t>32285000879329</t>
        </is>
      </c>
      <c r="BD421" t="inlineStr">
        <is>
          <t>893806244</t>
        </is>
      </c>
    </row>
    <row r="422">
      <c r="A422" t="inlineStr">
        <is>
          <t>No</t>
        </is>
      </c>
      <c r="B422" t="inlineStr">
        <is>
          <t>BV4012.2 .C37 1948</t>
        </is>
      </c>
      <c r="C422" t="inlineStr">
        <is>
          <t>0                      BV 4012200C  37          1948</t>
        </is>
      </c>
      <c r="D422" t="inlineStr">
        <is>
          <t>The nature and treatment of scruples : a guide for directors of souls / by Dermot Casey.</t>
        </is>
      </c>
      <c r="F422" t="inlineStr">
        <is>
          <t>No</t>
        </is>
      </c>
      <c r="G422" t="inlineStr">
        <is>
          <t>1</t>
        </is>
      </c>
      <c r="H422" t="inlineStr">
        <is>
          <t>No</t>
        </is>
      </c>
      <c r="I422" t="inlineStr">
        <is>
          <t>No</t>
        </is>
      </c>
      <c r="J422" t="inlineStr">
        <is>
          <t>0</t>
        </is>
      </c>
      <c r="K422" t="inlineStr">
        <is>
          <t>Casey, Dermot.</t>
        </is>
      </c>
      <c r="L422" t="inlineStr">
        <is>
          <t>Dublin : Clonmore and Reynolds, 1948.</t>
        </is>
      </c>
      <c r="M422" t="inlineStr">
        <is>
          <t>1948</t>
        </is>
      </c>
      <c r="O422" t="inlineStr">
        <is>
          <t>eng</t>
        </is>
      </c>
      <c r="P422" t="inlineStr">
        <is>
          <t xml:space="preserve">ie </t>
        </is>
      </c>
      <c r="R422" t="inlineStr">
        <is>
          <t xml:space="preserve">BV </t>
        </is>
      </c>
      <c r="S422" t="n">
        <v>3</v>
      </c>
      <c r="T422" t="n">
        <v>3</v>
      </c>
      <c r="U422" t="inlineStr">
        <is>
          <t>2009-01-23</t>
        </is>
      </c>
      <c r="V422" t="inlineStr">
        <is>
          <t>2009-01-23</t>
        </is>
      </c>
      <c r="W422" t="inlineStr">
        <is>
          <t>1992-02-20</t>
        </is>
      </c>
      <c r="X422" t="inlineStr">
        <is>
          <t>1992-02-20</t>
        </is>
      </c>
      <c r="Y422" t="n">
        <v>41</v>
      </c>
      <c r="Z422" t="n">
        <v>31</v>
      </c>
      <c r="AA422" t="n">
        <v>59</v>
      </c>
      <c r="AB422" t="n">
        <v>1</v>
      </c>
      <c r="AC422" t="n">
        <v>1</v>
      </c>
      <c r="AD422" t="n">
        <v>12</v>
      </c>
      <c r="AE422" t="n">
        <v>15</v>
      </c>
      <c r="AF422" t="n">
        <v>1</v>
      </c>
      <c r="AG422" t="n">
        <v>2</v>
      </c>
      <c r="AH422" t="n">
        <v>4</v>
      </c>
      <c r="AI422" t="n">
        <v>4</v>
      </c>
      <c r="AJ422" t="n">
        <v>10</v>
      </c>
      <c r="AK422" t="n">
        <v>13</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HYPERLINK("https://creighton-primo.hosted.exlibrisgroup.com/primo-explore/search?tab=default_tab&amp;search_scope=EVERYTHING&amp;vid=01CRU&amp;lang=en_US&amp;offset=0&amp;query=any,contains,991005109259702656","Catalog Record")</f>
        <v/>
      </c>
      <c r="AT422">
        <f>HYPERLINK("http://www.worldcat.org/oclc/7393809","WorldCat Record")</f>
        <v/>
      </c>
      <c r="AU422" t="inlineStr">
        <is>
          <t>1652492:eng</t>
        </is>
      </c>
      <c r="AV422" t="inlineStr">
        <is>
          <t>7393809</t>
        </is>
      </c>
      <c r="AW422" t="inlineStr">
        <is>
          <t>991005109259702656</t>
        </is>
      </c>
      <c r="AX422" t="inlineStr">
        <is>
          <t>991005109259702656</t>
        </is>
      </c>
      <c r="AY422" t="inlineStr">
        <is>
          <t>2261336400002656</t>
        </is>
      </c>
      <c r="AZ422" t="inlineStr">
        <is>
          <t>BOOK</t>
        </is>
      </c>
      <c r="BC422" t="inlineStr">
        <is>
          <t>32285000929801</t>
        </is>
      </c>
      <c r="BD422" t="inlineStr">
        <is>
          <t>893533183</t>
        </is>
      </c>
    </row>
    <row r="423">
      <c r="A423" t="inlineStr">
        <is>
          <t>No</t>
        </is>
      </c>
      <c r="B423" t="inlineStr">
        <is>
          <t>BV4012.2 .C534</t>
        </is>
      </c>
      <c r="C423" t="inlineStr">
        <is>
          <t>0                      BV 4012200C  534</t>
        </is>
      </c>
      <c r="D423" t="inlineStr">
        <is>
          <t>Growth counseling : hope-centered methods of actualizing wholeness / Howard Clinebell.</t>
        </is>
      </c>
      <c r="F423" t="inlineStr">
        <is>
          <t>No</t>
        </is>
      </c>
      <c r="G423" t="inlineStr">
        <is>
          <t>1</t>
        </is>
      </c>
      <c r="H423" t="inlineStr">
        <is>
          <t>No</t>
        </is>
      </c>
      <c r="I423" t="inlineStr">
        <is>
          <t>No</t>
        </is>
      </c>
      <c r="J423" t="inlineStr">
        <is>
          <t>0</t>
        </is>
      </c>
      <c r="K423" t="inlineStr">
        <is>
          <t>Clinebell, Howard, 1922-2005.</t>
        </is>
      </c>
      <c r="L423" t="inlineStr">
        <is>
          <t>Nashville : Abingdon, c1979.</t>
        </is>
      </c>
      <c r="M423" t="inlineStr">
        <is>
          <t>1979</t>
        </is>
      </c>
      <c r="O423" t="inlineStr">
        <is>
          <t>eng</t>
        </is>
      </c>
      <c r="P423" t="inlineStr">
        <is>
          <t>tnu</t>
        </is>
      </c>
      <c r="R423" t="inlineStr">
        <is>
          <t xml:space="preserve">BV </t>
        </is>
      </c>
      <c r="S423" t="n">
        <v>4</v>
      </c>
      <c r="T423" t="n">
        <v>4</v>
      </c>
      <c r="U423" t="inlineStr">
        <is>
          <t>1995-11-30</t>
        </is>
      </c>
      <c r="V423" t="inlineStr">
        <is>
          <t>1995-11-30</t>
        </is>
      </c>
      <c r="W423" t="inlineStr">
        <is>
          <t>1991-12-12</t>
        </is>
      </c>
      <c r="X423" t="inlineStr">
        <is>
          <t>1991-12-12</t>
        </is>
      </c>
      <c r="Y423" t="n">
        <v>315</v>
      </c>
      <c r="Z423" t="n">
        <v>269</v>
      </c>
      <c r="AA423" t="n">
        <v>278</v>
      </c>
      <c r="AB423" t="n">
        <v>4</v>
      </c>
      <c r="AC423" t="n">
        <v>4</v>
      </c>
      <c r="AD423" t="n">
        <v>13</v>
      </c>
      <c r="AE423" t="n">
        <v>13</v>
      </c>
      <c r="AF423" t="n">
        <v>4</v>
      </c>
      <c r="AG423" t="n">
        <v>4</v>
      </c>
      <c r="AH423" t="n">
        <v>2</v>
      </c>
      <c r="AI423" t="n">
        <v>2</v>
      </c>
      <c r="AJ423" t="n">
        <v>6</v>
      </c>
      <c r="AK423" t="n">
        <v>6</v>
      </c>
      <c r="AL423" t="n">
        <v>2</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HYPERLINK("https://creighton-primo.hosted.exlibrisgroup.com/primo-explore/search?tab=default_tab&amp;search_scope=EVERYTHING&amp;vid=01CRU&amp;lang=en_US&amp;offset=0&amp;query=any,contains,991004741469702656","Catalog Record")</f>
        <v/>
      </c>
      <c r="AT423">
        <f>HYPERLINK("http://www.worldcat.org/oclc/4883794","WorldCat Record")</f>
        <v/>
      </c>
      <c r="AU423" t="inlineStr">
        <is>
          <t>15077422:eng</t>
        </is>
      </c>
      <c r="AV423" t="inlineStr">
        <is>
          <t>4883794</t>
        </is>
      </c>
      <c r="AW423" t="inlineStr">
        <is>
          <t>991004741469702656</t>
        </is>
      </c>
      <c r="AX423" t="inlineStr">
        <is>
          <t>991004741469702656</t>
        </is>
      </c>
      <c r="AY423" t="inlineStr">
        <is>
          <t>2264023050002656</t>
        </is>
      </c>
      <c r="AZ423" t="inlineStr">
        <is>
          <t>BOOK</t>
        </is>
      </c>
      <c r="BB423" t="inlineStr">
        <is>
          <t>9780687159741</t>
        </is>
      </c>
      <c r="BC423" t="inlineStr">
        <is>
          <t>32285000887157</t>
        </is>
      </c>
      <c r="BD423" t="inlineStr">
        <is>
          <t>893619044</t>
        </is>
      </c>
    </row>
    <row r="424">
      <c r="A424" t="inlineStr">
        <is>
          <t>No</t>
        </is>
      </c>
      <c r="B424" t="inlineStr">
        <is>
          <t>BV4012.2 .C542 2003</t>
        </is>
      </c>
      <c r="C424" t="inlineStr">
        <is>
          <t>0                      BV 4012200C  542         2003</t>
        </is>
      </c>
      <c r="D424" t="inlineStr">
        <is>
          <t>Clinical handbook of pastoral counseling / edited by Robert J. Wicks, Richard D. Parsons, Donald Capps.</t>
        </is>
      </c>
      <c r="F424" t="inlineStr">
        <is>
          <t>No</t>
        </is>
      </c>
      <c r="G424" t="inlineStr">
        <is>
          <t>1</t>
        </is>
      </c>
      <c r="H424" t="inlineStr">
        <is>
          <t>No</t>
        </is>
      </c>
      <c r="I424" t="inlineStr">
        <is>
          <t>No</t>
        </is>
      </c>
      <c r="J424" t="inlineStr">
        <is>
          <t>0</t>
        </is>
      </c>
      <c r="L424" t="inlineStr">
        <is>
          <t>New York : Paulist Press, c2003.</t>
        </is>
      </c>
      <c r="M424" t="inlineStr">
        <is>
          <t>2003</t>
        </is>
      </c>
      <c r="O424" t="inlineStr">
        <is>
          <t>eng</t>
        </is>
      </c>
      <c r="P424" t="inlineStr">
        <is>
          <t>nyu</t>
        </is>
      </c>
      <c r="Q424" t="inlineStr">
        <is>
          <t>Integration books</t>
        </is>
      </c>
      <c r="R424" t="inlineStr">
        <is>
          <t xml:space="preserve">BV </t>
        </is>
      </c>
      <c r="S424" t="n">
        <v>4</v>
      </c>
      <c r="T424" t="n">
        <v>4</v>
      </c>
      <c r="U424" t="inlineStr">
        <is>
          <t>2007-10-30</t>
        </is>
      </c>
      <c r="V424" t="inlineStr">
        <is>
          <t>2007-10-30</t>
        </is>
      </c>
      <c r="W424" t="inlineStr">
        <is>
          <t>2003-11-18</t>
        </is>
      </c>
      <c r="X424" t="inlineStr">
        <is>
          <t>2003-11-18</t>
        </is>
      </c>
      <c r="Y424" t="n">
        <v>63</v>
      </c>
      <c r="Z424" t="n">
        <v>57</v>
      </c>
      <c r="AA424" t="n">
        <v>57</v>
      </c>
      <c r="AB424" t="n">
        <v>1</v>
      </c>
      <c r="AC424" t="n">
        <v>1</v>
      </c>
      <c r="AD424" t="n">
        <v>6</v>
      </c>
      <c r="AE424" t="n">
        <v>6</v>
      </c>
      <c r="AF424" t="n">
        <v>3</v>
      </c>
      <c r="AG424" t="n">
        <v>3</v>
      </c>
      <c r="AH424" t="n">
        <v>1</v>
      </c>
      <c r="AI424" t="n">
        <v>1</v>
      </c>
      <c r="AJ424" t="n">
        <v>3</v>
      </c>
      <c r="AK424" t="n">
        <v>3</v>
      </c>
      <c r="AL424" t="n">
        <v>0</v>
      </c>
      <c r="AM424" t="n">
        <v>0</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HYPERLINK("https://creighton-primo.hosted.exlibrisgroup.com/primo-explore/search?tab=default_tab&amp;search_scope=EVERYTHING&amp;vid=01CRU&amp;lang=en_US&amp;offset=0&amp;query=any,contains,991004166819702656","Catalog Record")</f>
        <v/>
      </c>
      <c r="AT424">
        <f>HYPERLINK("http://www.worldcat.org/oclc/49285495","WorldCat Record")</f>
        <v/>
      </c>
      <c r="AU424" t="inlineStr">
        <is>
          <t>3858932535:eng</t>
        </is>
      </c>
      <c r="AV424" t="inlineStr">
        <is>
          <t>49285495</t>
        </is>
      </c>
      <c r="AW424" t="inlineStr">
        <is>
          <t>991004166819702656</t>
        </is>
      </c>
      <c r="AX424" t="inlineStr">
        <is>
          <t>991004166819702656</t>
        </is>
      </c>
      <c r="AY424" t="inlineStr">
        <is>
          <t>2256826770002656</t>
        </is>
      </c>
      <c r="AZ424" t="inlineStr">
        <is>
          <t>BOOK</t>
        </is>
      </c>
      <c r="BB424" t="inlineStr">
        <is>
          <t>9780809140619</t>
        </is>
      </c>
      <c r="BC424" t="inlineStr">
        <is>
          <t>32285004798756</t>
        </is>
      </c>
      <c r="BD424" t="inlineStr">
        <is>
          <t>893618332</t>
        </is>
      </c>
    </row>
    <row r="425">
      <c r="A425" t="inlineStr">
        <is>
          <t>No</t>
        </is>
      </c>
      <c r="B425" t="inlineStr">
        <is>
          <t>BV4012.2 .H27</t>
        </is>
      </c>
      <c r="C425" t="inlineStr">
        <is>
          <t>0                      BV 4012200H  27</t>
        </is>
      </c>
      <c r="D425" t="inlineStr">
        <is>
          <t>Pastoral counseling with people in distress / [by] Harold I. Haas.</t>
        </is>
      </c>
      <c r="F425" t="inlineStr">
        <is>
          <t>No</t>
        </is>
      </c>
      <c r="G425" t="inlineStr">
        <is>
          <t>1</t>
        </is>
      </c>
      <c r="H425" t="inlineStr">
        <is>
          <t>No</t>
        </is>
      </c>
      <c r="I425" t="inlineStr">
        <is>
          <t>No</t>
        </is>
      </c>
      <c r="J425" t="inlineStr">
        <is>
          <t>0</t>
        </is>
      </c>
      <c r="K425" t="inlineStr">
        <is>
          <t>Haas, Harold I.</t>
        </is>
      </c>
      <c r="L425" t="inlineStr">
        <is>
          <t>[St. Louis] Concordia Pub. House [c1970]</t>
        </is>
      </c>
      <c r="M425" t="inlineStr">
        <is>
          <t>1970</t>
        </is>
      </c>
      <c r="O425" t="inlineStr">
        <is>
          <t>eng</t>
        </is>
      </c>
      <c r="P425" t="inlineStr">
        <is>
          <t>mou</t>
        </is>
      </c>
      <c r="R425" t="inlineStr">
        <is>
          <t xml:space="preserve">BV </t>
        </is>
      </c>
      <c r="S425" t="n">
        <v>1</v>
      </c>
      <c r="T425" t="n">
        <v>1</v>
      </c>
      <c r="U425" t="inlineStr">
        <is>
          <t>1992-01-22</t>
        </is>
      </c>
      <c r="V425" t="inlineStr">
        <is>
          <t>1992-01-22</t>
        </is>
      </c>
      <c r="W425" t="inlineStr">
        <is>
          <t>1992-01-22</t>
        </is>
      </c>
      <c r="X425" t="inlineStr">
        <is>
          <t>1992-01-22</t>
        </is>
      </c>
      <c r="Y425" t="n">
        <v>216</v>
      </c>
      <c r="Z425" t="n">
        <v>183</v>
      </c>
      <c r="AA425" t="n">
        <v>183</v>
      </c>
      <c r="AB425" t="n">
        <v>3</v>
      </c>
      <c r="AC425" t="n">
        <v>3</v>
      </c>
      <c r="AD425" t="n">
        <v>12</v>
      </c>
      <c r="AE425" t="n">
        <v>12</v>
      </c>
      <c r="AF425" t="n">
        <v>5</v>
      </c>
      <c r="AG425" t="n">
        <v>5</v>
      </c>
      <c r="AH425" t="n">
        <v>4</v>
      </c>
      <c r="AI425" t="n">
        <v>4</v>
      </c>
      <c r="AJ425" t="n">
        <v>7</v>
      </c>
      <c r="AK425" t="n">
        <v>7</v>
      </c>
      <c r="AL425" t="n">
        <v>1</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HYPERLINK("https://creighton-primo.hosted.exlibrisgroup.com/primo-explore/search?tab=default_tab&amp;search_scope=EVERYTHING&amp;vid=01CRU&amp;lang=en_US&amp;offset=0&amp;query=any,contains,991000105049702656","Catalog Record")</f>
        <v/>
      </c>
      <c r="AT425">
        <f>HYPERLINK("http://www.worldcat.org/oclc/46028","WorldCat Record")</f>
        <v/>
      </c>
      <c r="AU425" t="inlineStr">
        <is>
          <t>1215474:eng</t>
        </is>
      </c>
      <c r="AV425" t="inlineStr">
        <is>
          <t>46028</t>
        </is>
      </c>
      <c r="AW425" t="inlineStr">
        <is>
          <t>991000105049702656</t>
        </is>
      </c>
      <c r="AX425" t="inlineStr">
        <is>
          <t>991000105049702656</t>
        </is>
      </c>
      <c r="AY425" t="inlineStr">
        <is>
          <t>2264199730002656</t>
        </is>
      </c>
      <c r="AZ425" t="inlineStr">
        <is>
          <t>BOOK</t>
        </is>
      </c>
      <c r="BC425" t="inlineStr">
        <is>
          <t>32285000898352</t>
        </is>
      </c>
      <c r="BD425" t="inlineStr">
        <is>
          <t>893419202</t>
        </is>
      </c>
    </row>
    <row r="426">
      <c r="A426" t="inlineStr">
        <is>
          <t>No</t>
        </is>
      </c>
      <c r="B426" t="inlineStr">
        <is>
          <t>BV4012.2 .L895 1999</t>
        </is>
      </c>
      <c r="C426" t="inlineStr">
        <is>
          <t>0                      BV 4012200L  895         1999</t>
        </is>
      </c>
      <c r="D426" t="inlineStr">
        <is>
          <t>A mature faith / Daniël J. Louw.</t>
        </is>
      </c>
      <c r="F426" t="inlineStr">
        <is>
          <t>No</t>
        </is>
      </c>
      <c r="G426" t="inlineStr">
        <is>
          <t>1</t>
        </is>
      </c>
      <c r="H426" t="inlineStr">
        <is>
          <t>No</t>
        </is>
      </c>
      <c r="I426" t="inlineStr">
        <is>
          <t>No</t>
        </is>
      </c>
      <c r="J426" t="inlineStr">
        <is>
          <t>0</t>
        </is>
      </c>
      <c r="K426" t="inlineStr">
        <is>
          <t>Louw, Daniel J.</t>
        </is>
      </c>
      <c r="L426" t="inlineStr">
        <is>
          <t>Louvain : Peeters, c1999.</t>
        </is>
      </c>
      <c r="M426" t="inlineStr">
        <is>
          <t>1999</t>
        </is>
      </c>
      <c r="O426" t="inlineStr">
        <is>
          <t>eng</t>
        </is>
      </c>
      <c r="P426" t="inlineStr">
        <is>
          <t xml:space="preserve">be </t>
        </is>
      </c>
      <c r="Q426" t="inlineStr">
        <is>
          <t>Louvain theological &amp; pastoral monographs ; 25</t>
        </is>
      </c>
      <c r="R426" t="inlineStr">
        <is>
          <t xml:space="preserve">BV </t>
        </is>
      </c>
      <c r="S426" t="n">
        <v>3</v>
      </c>
      <c r="T426" t="n">
        <v>3</v>
      </c>
      <c r="U426" t="inlineStr">
        <is>
          <t>2002-10-28</t>
        </is>
      </c>
      <c r="V426" t="inlineStr">
        <is>
          <t>2002-10-28</t>
        </is>
      </c>
      <c r="W426" t="inlineStr">
        <is>
          <t>2002-10-28</t>
        </is>
      </c>
      <c r="X426" t="inlineStr">
        <is>
          <t>2002-10-28</t>
        </is>
      </c>
      <c r="Y426" t="n">
        <v>148</v>
      </c>
      <c r="Z426" t="n">
        <v>107</v>
      </c>
      <c r="AA426" t="n">
        <v>107</v>
      </c>
      <c r="AB426" t="n">
        <v>1</v>
      </c>
      <c r="AC426" t="n">
        <v>1</v>
      </c>
      <c r="AD426" t="n">
        <v>9</v>
      </c>
      <c r="AE426" t="n">
        <v>9</v>
      </c>
      <c r="AF426" t="n">
        <v>5</v>
      </c>
      <c r="AG426" t="n">
        <v>5</v>
      </c>
      <c r="AH426" t="n">
        <v>2</v>
      </c>
      <c r="AI426" t="n">
        <v>2</v>
      </c>
      <c r="AJ426" t="n">
        <v>4</v>
      </c>
      <c r="AK426" t="n">
        <v>4</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HYPERLINK("https://creighton-primo.hosted.exlibrisgroup.com/primo-explore/search?tab=default_tab&amp;search_scope=EVERYTHING&amp;vid=01CRU&amp;lang=en_US&amp;offset=0&amp;query=any,contains,991003917619702656","Catalog Record")</f>
        <v/>
      </c>
      <c r="AT426">
        <f>HYPERLINK("http://www.worldcat.org/oclc/41328227","WorldCat Record")</f>
        <v/>
      </c>
      <c r="AU426" t="inlineStr">
        <is>
          <t>27149553:eng</t>
        </is>
      </c>
      <c r="AV426" t="inlineStr">
        <is>
          <t>41328227</t>
        </is>
      </c>
      <c r="AW426" t="inlineStr">
        <is>
          <t>991003917619702656</t>
        </is>
      </c>
      <c r="AX426" t="inlineStr">
        <is>
          <t>991003917619702656</t>
        </is>
      </c>
      <c r="AY426" t="inlineStr">
        <is>
          <t>2272296100002656</t>
        </is>
      </c>
      <c r="AZ426" t="inlineStr">
        <is>
          <t>BOOK</t>
        </is>
      </c>
      <c r="BB426" t="inlineStr">
        <is>
          <t>9789042906860</t>
        </is>
      </c>
      <c r="BC426" t="inlineStr">
        <is>
          <t>32285004658430</t>
        </is>
      </c>
      <c r="BD426" t="inlineStr">
        <is>
          <t>893718225</t>
        </is>
      </c>
    </row>
    <row r="427">
      <c r="A427" t="inlineStr">
        <is>
          <t>No</t>
        </is>
      </c>
      <c r="B427" t="inlineStr">
        <is>
          <t>BV4012.2 .M6</t>
        </is>
      </c>
      <c r="C427" t="inlineStr">
        <is>
          <t>0                      BV 4012200M  6</t>
        </is>
      </c>
      <c r="D427" t="inlineStr">
        <is>
          <t>Counseling: a modern emphasis in religion / Leslie E. Moser.</t>
        </is>
      </c>
      <c r="F427" t="inlineStr">
        <is>
          <t>No</t>
        </is>
      </c>
      <c r="G427" t="inlineStr">
        <is>
          <t>1</t>
        </is>
      </c>
      <c r="H427" t="inlineStr">
        <is>
          <t>No</t>
        </is>
      </c>
      <c r="I427" t="inlineStr">
        <is>
          <t>No</t>
        </is>
      </c>
      <c r="J427" t="inlineStr">
        <is>
          <t>0</t>
        </is>
      </c>
      <c r="K427" t="inlineStr">
        <is>
          <t>Moser, Leslie E.</t>
        </is>
      </c>
      <c r="L427" t="inlineStr">
        <is>
          <t>Englewood Cliffs, N. J. : Prentice-Hall, 1962.</t>
        </is>
      </c>
      <c r="M427" t="inlineStr">
        <is>
          <t>1962</t>
        </is>
      </c>
      <c r="O427" t="inlineStr">
        <is>
          <t>eng</t>
        </is>
      </c>
      <c r="P427" t="inlineStr">
        <is>
          <t>nju</t>
        </is>
      </c>
      <c r="R427" t="inlineStr">
        <is>
          <t xml:space="preserve">BV </t>
        </is>
      </c>
      <c r="S427" t="n">
        <v>3</v>
      </c>
      <c r="T427" t="n">
        <v>3</v>
      </c>
      <c r="U427" t="inlineStr">
        <is>
          <t>2000-06-22</t>
        </is>
      </c>
      <c r="V427" t="inlineStr">
        <is>
          <t>2000-06-22</t>
        </is>
      </c>
      <c r="W427" t="inlineStr">
        <is>
          <t>1992-02-20</t>
        </is>
      </c>
      <c r="X427" t="inlineStr">
        <is>
          <t>1992-02-20</t>
        </is>
      </c>
      <c r="Y427" t="n">
        <v>293</v>
      </c>
      <c r="Z427" t="n">
        <v>266</v>
      </c>
      <c r="AA427" t="n">
        <v>272</v>
      </c>
      <c r="AB427" t="n">
        <v>6</v>
      </c>
      <c r="AC427" t="n">
        <v>6</v>
      </c>
      <c r="AD427" t="n">
        <v>11</v>
      </c>
      <c r="AE427" t="n">
        <v>11</v>
      </c>
      <c r="AF427" t="n">
        <v>5</v>
      </c>
      <c r="AG427" t="n">
        <v>5</v>
      </c>
      <c r="AH427" t="n">
        <v>1</v>
      </c>
      <c r="AI427" t="n">
        <v>1</v>
      </c>
      <c r="AJ427" t="n">
        <v>4</v>
      </c>
      <c r="AK427" t="n">
        <v>4</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HYPERLINK("https://creighton-primo.hosted.exlibrisgroup.com/primo-explore/search?tab=default_tab&amp;search_scope=EVERYTHING&amp;vid=01CRU&amp;lang=en_US&amp;offset=0&amp;query=any,contains,991002979969702656","Catalog Record")</f>
        <v/>
      </c>
      <c r="AT427">
        <f>HYPERLINK("http://www.worldcat.org/oclc/554379","WorldCat Record")</f>
        <v/>
      </c>
      <c r="AU427" t="inlineStr">
        <is>
          <t>1314505592:eng</t>
        </is>
      </c>
      <c r="AV427" t="inlineStr">
        <is>
          <t>554379</t>
        </is>
      </c>
      <c r="AW427" t="inlineStr">
        <is>
          <t>991002979969702656</t>
        </is>
      </c>
      <c r="AX427" t="inlineStr">
        <is>
          <t>991002979969702656</t>
        </is>
      </c>
      <c r="AY427" t="inlineStr">
        <is>
          <t>2256250850002656</t>
        </is>
      </c>
      <c r="AZ427" t="inlineStr">
        <is>
          <t>BOOK</t>
        </is>
      </c>
      <c r="BC427" t="inlineStr">
        <is>
          <t>32285000929892</t>
        </is>
      </c>
      <c r="BD427" t="inlineStr">
        <is>
          <t>893251866</t>
        </is>
      </c>
    </row>
    <row r="428">
      <c r="A428" t="inlineStr">
        <is>
          <t>No</t>
        </is>
      </c>
      <c r="B428" t="inlineStr">
        <is>
          <t>BV4012.2 .N34</t>
        </is>
      </c>
      <c r="C428" t="inlineStr">
        <is>
          <t>0                      BV 4012200N  34</t>
        </is>
      </c>
      <c r="D428" t="inlineStr">
        <is>
          <t>Pastoral counselling : reflections and concerns / by Samuel M. Natale, in collaboration with Richard J. Wolff.</t>
        </is>
      </c>
      <c r="F428" t="inlineStr">
        <is>
          <t>No</t>
        </is>
      </c>
      <c r="G428" t="inlineStr">
        <is>
          <t>1</t>
        </is>
      </c>
      <c r="H428" t="inlineStr">
        <is>
          <t>No</t>
        </is>
      </c>
      <c r="I428" t="inlineStr">
        <is>
          <t>No</t>
        </is>
      </c>
      <c r="J428" t="inlineStr">
        <is>
          <t>0</t>
        </is>
      </c>
      <c r="K428" t="inlineStr">
        <is>
          <t>Natale, Samuel M.</t>
        </is>
      </c>
      <c r="L428" t="inlineStr">
        <is>
          <t>New York : Paulist Press, c1977.</t>
        </is>
      </c>
      <c r="M428" t="inlineStr">
        <is>
          <t>1977</t>
        </is>
      </c>
      <c r="O428" t="inlineStr">
        <is>
          <t>eng</t>
        </is>
      </c>
      <c r="P428" t="inlineStr">
        <is>
          <t>nyu</t>
        </is>
      </c>
      <c r="Q428" t="inlineStr">
        <is>
          <t>An Exploration book</t>
        </is>
      </c>
      <c r="R428" t="inlineStr">
        <is>
          <t xml:space="preserve">BV </t>
        </is>
      </c>
      <c r="S428" t="n">
        <v>4</v>
      </c>
      <c r="T428" t="n">
        <v>4</v>
      </c>
      <c r="U428" t="inlineStr">
        <is>
          <t>1998-09-29</t>
        </is>
      </c>
      <c r="V428" t="inlineStr">
        <is>
          <t>1998-09-29</t>
        </is>
      </c>
      <c r="W428" t="inlineStr">
        <is>
          <t>1992-02-14</t>
        </is>
      </c>
      <c r="X428" t="inlineStr">
        <is>
          <t>1992-02-14</t>
        </is>
      </c>
      <c r="Y428" t="n">
        <v>172</v>
      </c>
      <c r="Z428" t="n">
        <v>145</v>
      </c>
      <c r="AA428" t="n">
        <v>145</v>
      </c>
      <c r="AB428" t="n">
        <v>1</v>
      </c>
      <c r="AC428" t="n">
        <v>1</v>
      </c>
      <c r="AD428" t="n">
        <v>14</v>
      </c>
      <c r="AE428" t="n">
        <v>14</v>
      </c>
      <c r="AF428" t="n">
        <v>5</v>
      </c>
      <c r="AG428" t="n">
        <v>5</v>
      </c>
      <c r="AH428" t="n">
        <v>2</v>
      </c>
      <c r="AI428" t="n">
        <v>2</v>
      </c>
      <c r="AJ428" t="n">
        <v>12</v>
      </c>
      <c r="AK428" t="n">
        <v>12</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HYPERLINK("https://creighton-primo.hosted.exlibrisgroup.com/primo-explore/search?tab=default_tab&amp;search_scope=EVERYTHING&amp;vid=01CRU&amp;lang=en_US&amp;offset=0&amp;query=any,contains,991004307529702656","Catalog Record")</f>
        <v/>
      </c>
      <c r="AT428">
        <f>HYPERLINK("http://www.worldcat.org/oclc/2984453","WorldCat Record")</f>
        <v/>
      </c>
      <c r="AU428" t="inlineStr">
        <is>
          <t>1089558989:eng</t>
        </is>
      </c>
      <c r="AV428" t="inlineStr">
        <is>
          <t>2984453</t>
        </is>
      </c>
      <c r="AW428" t="inlineStr">
        <is>
          <t>991004307529702656</t>
        </is>
      </c>
      <c r="AX428" t="inlineStr">
        <is>
          <t>991004307529702656</t>
        </is>
      </c>
      <c r="AY428" t="inlineStr">
        <is>
          <t>2258317670002656</t>
        </is>
      </c>
      <c r="AZ428" t="inlineStr">
        <is>
          <t>BOOK</t>
        </is>
      </c>
      <c r="BB428" t="inlineStr">
        <is>
          <t>9780809120086</t>
        </is>
      </c>
      <c r="BC428" t="inlineStr">
        <is>
          <t>32285000959410</t>
        </is>
      </c>
      <c r="BD428" t="inlineStr">
        <is>
          <t>893706231</t>
        </is>
      </c>
    </row>
    <row r="429">
      <c r="A429" t="inlineStr">
        <is>
          <t>No</t>
        </is>
      </c>
      <c r="B429" t="inlineStr">
        <is>
          <t>BV4012.2 .P77 1993</t>
        </is>
      </c>
      <c r="C429" t="inlineStr">
        <is>
          <t>0                      BV 4012200P  77          1993</t>
        </is>
      </c>
      <c r="D429" t="inlineStr">
        <is>
          <t>Psychotherapy and religious values / edited by Everett L. Worthington, Jr.</t>
        </is>
      </c>
      <c r="F429" t="inlineStr">
        <is>
          <t>No</t>
        </is>
      </c>
      <c r="G429" t="inlineStr">
        <is>
          <t>1</t>
        </is>
      </c>
      <c r="H429" t="inlineStr">
        <is>
          <t>No</t>
        </is>
      </c>
      <c r="I429" t="inlineStr">
        <is>
          <t>No</t>
        </is>
      </c>
      <c r="J429" t="inlineStr">
        <is>
          <t>0</t>
        </is>
      </c>
      <c r="L429" t="inlineStr">
        <is>
          <t>Grand Rapids, Mich. : Baker Book House, c1993.</t>
        </is>
      </c>
      <c r="M429" t="inlineStr">
        <is>
          <t>1993</t>
        </is>
      </c>
      <c r="O429" t="inlineStr">
        <is>
          <t>eng</t>
        </is>
      </c>
      <c r="P429" t="inlineStr">
        <is>
          <t>miu</t>
        </is>
      </c>
      <c r="Q429" t="inlineStr">
        <is>
          <t>Psychology and Christianity ; 7</t>
        </is>
      </c>
      <c r="R429" t="inlineStr">
        <is>
          <t xml:space="preserve">BV </t>
        </is>
      </c>
      <c r="S429" t="n">
        <v>2</v>
      </c>
      <c r="T429" t="n">
        <v>2</v>
      </c>
      <c r="U429" t="inlineStr">
        <is>
          <t>2008-04-30</t>
        </is>
      </c>
      <c r="V429" t="inlineStr">
        <is>
          <t>2008-04-30</t>
        </is>
      </c>
      <c r="W429" t="inlineStr">
        <is>
          <t>2007-10-11</t>
        </is>
      </c>
      <c r="X429" t="inlineStr">
        <is>
          <t>2007-10-11</t>
        </is>
      </c>
      <c r="Y429" t="n">
        <v>183</v>
      </c>
      <c r="Z429" t="n">
        <v>161</v>
      </c>
      <c r="AA429" t="n">
        <v>161</v>
      </c>
      <c r="AB429" t="n">
        <v>3</v>
      </c>
      <c r="AC429" t="n">
        <v>3</v>
      </c>
      <c r="AD429" t="n">
        <v>6</v>
      </c>
      <c r="AE429" t="n">
        <v>6</v>
      </c>
      <c r="AF429" t="n">
        <v>3</v>
      </c>
      <c r="AG429" t="n">
        <v>3</v>
      </c>
      <c r="AH429" t="n">
        <v>0</v>
      </c>
      <c r="AI429" t="n">
        <v>0</v>
      </c>
      <c r="AJ429" t="n">
        <v>2</v>
      </c>
      <c r="AK429" t="n">
        <v>2</v>
      </c>
      <c r="AL429" t="n">
        <v>1</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HYPERLINK("https://creighton-primo.hosted.exlibrisgroup.com/primo-explore/search?tab=default_tab&amp;search_scope=EVERYTHING&amp;vid=01CRU&amp;lang=en_US&amp;offset=0&amp;query=any,contains,991005129389702656","Catalog Record")</f>
        <v/>
      </c>
      <c r="AT429">
        <f>HYPERLINK("http://www.worldcat.org/oclc/25746606","WorldCat Record")</f>
        <v/>
      </c>
      <c r="AU429" t="inlineStr">
        <is>
          <t>29092465:eng</t>
        </is>
      </c>
      <c r="AV429" t="inlineStr">
        <is>
          <t>25746606</t>
        </is>
      </c>
      <c r="AW429" t="inlineStr">
        <is>
          <t>991005129389702656</t>
        </is>
      </c>
      <c r="AX429" t="inlineStr">
        <is>
          <t>991005129389702656</t>
        </is>
      </c>
      <c r="AY429" t="inlineStr">
        <is>
          <t>2269439690002656</t>
        </is>
      </c>
      <c r="AZ429" t="inlineStr">
        <is>
          <t>BOOK</t>
        </is>
      </c>
      <c r="BB429" t="inlineStr">
        <is>
          <t>9780801097195</t>
        </is>
      </c>
      <c r="BC429" t="inlineStr">
        <is>
          <t>32285005329700</t>
        </is>
      </c>
      <c r="BD429" t="inlineStr">
        <is>
          <t>893876989</t>
        </is>
      </c>
    </row>
    <row r="430">
      <c r="A430" t="inlineStr">
        <is>
          <t>No</t>
        </is>
      </c>
      <c r="B430" t="inlineStr">
        <is>
          <t>BV4012.2 .T96 1982</t>
        </is>
      </c>
      <c r="C430" t="inlineStr">
        <is>
          <t>0                      BV 4012200T  96          1982</t>
        </is>
      </c>
      <c r="D430" t="inlineStr">
        <is>
          <t>Christotherapy II : the fasting and feasting heart / Bernard J. Tyrrell.</t>
        </is>
      </c>
      <c r="F430" t="inlineStr">
        <is>
          <t>No</t>
        </is>
      </c>
      <c r="G430" t="inlineStr">
        <is>
          <t>1</t>
        </is>
      </c>
      <c r="H430" t="inlineStr">
        <is>
          <t>No</t>
        </is>
      </c>
      <c r="I430" t="inlineStr">
        <is>
          <t>No</t>
        </is>
      </c>
      <c r="J430" t="inlineStr">
        <is>
          <t>0</t>
        </is>
      </c>
      <c r="K430" t="inlineStr">
        <is>
          <t>Tyrrell, Bernard, 1933-</t>
        </is>
      </c>
      <c r="L430" t="inlineStr">
        <is>
          <t>Ramsey, N.J. : Paulist Press, c1982.</t>
        </is>
      </c>
      <c r="M430" t="inlineStr">
        <is>
          <t>1982</t>
        </is>
      </c>
      <c r="O430" t="inlineStr">
        <is>
          <t>eng</t>
        </is>
      </c>
      <c r="P430" t="inlineStr">
        <is>
          <t>nju</t>
        </is>
      </c>
      <c r="R430" t="inlineStr">
        <is>
          <t xml:space="preserve">BV </t>
        </is>
      </c>
      <c r="S430" t="n">
        <v>7</v>
      </c>
      <c r="T430" t="n">
        <v>7</v>
      </c>
      <c r="U430" t="inlineStr">
        <is>
          <t>1994-07-18</t>
        </is>
      </c>
      <c r="V430" t="inlineStr">
        <is>
          <t>1994-07-18</t>
        </is>
      </c>
      <c r="W430" t="inlineStr">
        <is>
          <t>1990-03-05</t>
        </is>
      </c>
      <c r="X430" t="inlineStr">
        <is>
          <t>1990-03-05</t>
        </is>
      </c>
      <c r="Y430" t="n">
        <v>271</v>
      </c>
      <c r="Z430" t="n">
        <v>232</v>
      </c>
      <c r="AA430" t="n">
        <v>237</v>
      </c>
      <c r="AB430" t="n">
        <v>3</v>
      </c>
      <c r="AC430" t="n">
        <v>3</v>
      </c>
      <c r="AD430" t="n">
        <v>26</v>
      </c>
      <c r="AE430" t="n">
        <v>26</v>
      </c>
      <c r="AF430" t="n">
        <v>10</v>
      </c>
      <c r="AG430" t="n">
        <v>10</v>
      </c>
      <c r="AH430" t="n">
        <v>5</v>
      </c>
      <c r="AI430" t="n">
        <v>5</v>
      </c>
      <c r="AJ430" t="n">
        <v>20</v>
      </c>
      <c r="AK430" t="n">
        <v>20</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HYPERLINK("https://creighton-primo.hosted.exlibrisgroup.com/primo-explore/search?tab=default_tab&amp;search_scope=EVERYTHING&amp;vid=01CRU&amp;lang=en_US&amp;offset=0&amp;query=any,contains,991000077159702656","Catalog Record")</f>
        <v/>
      </c>
      <c r="AT430">
        <f>HYPERLINK("http://www.worldcat.org/oclc/8811430","WorldCat Record")</f>
        <v/>
      </c>
      <c r="AU430" t="inlineStr">
        <is>
          <t>3133594111:eng</t>
        </is>
      </c>
      <c r="AV430" t="inlineStr">
        <is>
          <t>8811430</t>
        </is>
      </c>
      <c r="AW430" t="inlineStr">
        <is>
          <t>991000077159702656</t>
        </is>
      </c>
      <c r="AX430" t="inlineStr">
        <is>
          <t>991000077159702656</t>
        </is>
      </c>
      <c r="AY430" t="inlineStr">
        <is>
          <t>2264955990002656</t>
        </is>
      </c>
      <c r="AZ430" t="inlineStr">
        <is>
          <t>BOOK</t>
        </is>
      </c>
      <c r="BB430" t="inlineStr">
        <is>
          <t>9780809103324</t>
        </is>
      </c>
      <c r="BC430" t="inlineStr">
        <is>
          <t>32285000076561</t>
        </is>
      </c>
      <c r="BD430" t="inlineStr">
        <is>
          <t>893607595</t>
        </is>
      </c>
    </row>
    <row r="431">
      <c r="A431" t="inlineStr">
        <is>
          <t>No</t>
        </is>
      </c>
      <c r="B431" t="inlineStr">
        <is>
          <t>BV4012.2 .V38 1969</t>
        </is>
      </c>
      <c r="C431" t="inlineStr">
        <is>
          <t>0                      BV 4012200V  38          1969</t>
        </is>
      </c>
      <c r="D431" t="inlineStr">
        <is>
          <t>An introduction to religious counseling : a Christian humanistic approach / [by] Richard P. Vaughan.</t>
        </is>
      </c>
      <c r="F431" t="inlineStr">
        <is>
          <t>No</t>
        </is>
      </c>
      <c r="G431" t="inlineStr">
        <is>
          <t>1</t>
        </is>
      </c>
      <c r="H431" t="inlineStr">
        <is>
          <t>No</t>
        </is>
      </c>
      <c r="I431" t="inlineStr">
        <is>
          <t>No</t>
        </is>
      </c>
      <c r="J431" t="inlineStr">
        <is>
          <t>0</t>
        </is>
      </c>
      <c r="K431" t="inlineStr">
        <is>
          <t>Vaughan, Richard P. (Richard Patrick), 1919-</t>
        </is>
      </c>
      <c r="L431" t="inlineStr">
        <is>
          <t>Englewood Cliffs, N.J. : Prentice-Hall, [1969]</t>
        </is>
      </c>
      <c r="M431" t="inlineStr">
        <is>
          <t>1969</t>
        </is>
      </c>
      <c r="O431" t="inlineStr">
        <is>
          <t>eng</t>
        </is>
      </c>
      <c r="P431" t="inlineStr">
        <is>
          <t>nju</t>
        </is>
      </c>
      <c r="R431" t="inlineStr">
        <is>
          <t xml:space="preserve">BV </t>
        </is>
      </c>
      <c r="S431" t="n">
        <v>2</v>
      </c>
      <c r="T431" t="n">
        <v>2</v>
      </c>
      <c r="U431" t="inlineStr">
        <is>
          <t>1998-03-28</t>
        </is>
      </c>
      <c r="V431" t="inlineStr">
        <is>
          <t>1998-03-28</t>
        </is>
      </c>
      <c r="W431" t="inlineStr">
        <is>
          <t>1992-02-20</t>
        </is>
      </c>
      <c r="X431" t="inlineStr">
        <is>
          <t>1992-02-20</t>
        </is>
      </c>
      <c r="Y431" t="n">
        <v>256</v>
      </c>
      <c r="Z431" t="n">
        <v>229</v>
      </c>
      <c r="AA431" t="n">
        <v>235</v>
      </c>
      <c r="AB431" t="n">
        <v>5</v>
      </c>
      <c r="AC431" t="n">
        <v>5</v>
      </c>
      <c r="AD431" t="n">
        <v>18</v>
      </c>
      <c r="AE431" t="n">
        <v>18</v>
      </c>
      <c r="AF431" t="n">
        <v>3</v>
      </c>
      <c r="AG431" t="n">
        <v>3</v>
      </c>
      <c r="AH431" t="n">
        <v>5</v>
      </c>
      <c r="AI431" t="n">
        <v>5</v>
      </c>
      <c r="AJ431" t="n">
        <v>12</v>
      </c>
      <c r="AK431" t="n">
        <v>12</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HYPERLINK("https://creighton-primo.hosted.exlibrisgroup.com/primo-explore/search?tab=default_tab&amp;search_scope=EVERYTHING&amp;vid=01CRU&amp;lang=en_US&amp;offset=0&amp;query=any,contains,991000017959702656","Catalog Record")</f>
        <v/>
      </c>
      <c r="AT431">
        <f>HYPERLINK("http://www.worldcat.org/oclc/16846","WorldCat Record")</f>
        <v/>
      </c>
      <c r="AU431" t="inlineStr">
        <is>
          <t>1088524877:eng</t>
        </is>
      </c>
      <c r="AV431" t="inlineStr">
        <is>
          <t>16846</t>
        </is>
      </c>
      <c r="AW431" t="inlineStr">
        <is>
          <t>991000017959702656</t>
        </is>
      </c>
      <c r="AX431" t="inlineStr">
        <is>
          <t>991000017959702656</t>
        </is>
      </c>
      <c r="AY431" t="inlineStr">
        <is>
          <t>2271590600002656</t>
        </is>
      </c>
      <c r="AZ431" t="inlineStr">
        <is>
          <t>BOOK</t>
        </is>
      </c>
      <c r="BB431" t="inlineStr">
        <is>
          <t>9780134952833</t>
        </is>
      </c>
      <c r="BC431" t="inlineStr">
        <is>
          <t>32285000929918</t>
        </is>
      </c>
      <c r="BD431" t="inlineStr">
        <is>
          <t>893607546</t>
        </is>
      </c>
    </row>
    <row r="432">
      <c r="A432" t="inlineStr">
        <is>
          <t>No</t>
        </is>
      </c>
      <c r="B432" t="inlineStr">
        <is>
          <t>BV4012.2 .V383 1994</t>
        </is>
      </c>
      <c r="C432" t="inlineStr">
        <is>
          <t>0                      BV 4012200V  383         1994</t>
        </is>
      </c>
      <c r="D432" t="inlineStr">
        <is>
          <t>Pastoral counseling and personality disorders : a manual / Richard P. Vaughan.</t>
        </is>
      </c>
      <c r="F432" t="inlineStr">
        <is>
          <t>No</t>
        </is>
      </c>
      <c r="G432" t="inlineStr">
        <is>
          <t>1</t>
        </is>
      </c>
      <c r="H432" t="inlineStr">
        <is>
          <t>No</t>
        </is>
      </c>
      <c r="I432" t="inlineStr">
        <is>
          <t>No</t>
        </is>
      </c>
      <c r="J432" t="inlineStr">
        <is>
          <t>0</t>
        </is>
      </c>
      <c r="K432" t="inlineStr">
        <is>
          <t>Vaughan, Richard P. (Richard Patrick), 1919-</t>
        </is>
      </c>
      <c r="L432" t="inlineStr">
        <is>
          <t>Kansas City, MO : Sheed &amp; Ward, c1994.</t>
        </is>
      </c>
      <c r="M432" t="inlineStr">
        <is>
          <t>1994</t>
        </is>
      </c>
      <c r="O432" t="inlineStr">
        <is>
          <t>eng</t>
        </is>
      </c>
      <c r="P432" t="inlineStr">
        <is>
          <t>mou</t>
        </is>
      </c>
      <c r="R432" t="inlineStr">
        <is>
          <t xml:space="preserve">BV </t>
        </is>
      </c>
      <c r="S432" t="n">
        <v>5</v>
      </c>
      <c r="T432" t="n">
        <v>5</v>
      </c>
      <c r="U432" t="inlineStr">
        <is>
          <t>2008-04-23</t>
        </is>
      </c>
      <c r="V432" t="inlineStr">
        <is>
          <t>2008-04-23</t>
        </is>
      </c>
      <c r="W432" t="inlineStr">
        <is>
          <t>1999-01-05</t>
        </is>
      </c>
      <c r="X432" t="inlineStr">
        <is>
          <t>1999-01-05</t>
        </is>
      </c>
      <c r="Y432" t="n">
        <v>113</v>
      </c>
      <c r="Z432" t="n">
        <v>93</v>
      </c>
      <c r="AA432" t="n">
        <v>98</v>
      </c>
      <c r="AB432" t="n">
        <v>1</v>
      </c>
      <c r="AC432" t="n">
        <v>1</v>
      </c>
      <c r="AD432" t="n">
        <v>14</v>
      </c>
      <c r="AE432" t="n">
        <v>14</v>
      </c>
      <c r="AF432" t="n">
        <v>4</v>
      </c>
      <c r="AG432" t="n">
        <v>4</v>
      </c>
      <c r="AH432" t="n">
        <v>2</v>
      </c>
      <c r="AI432" t="n">
        <v>2</v>
      </c>
      <c r="AJ432" t="n">
        <v>11</v>
      </c>
      <c r="AK432" t="n">
        <v>11</v>
      </c>
      <c r="AL432" t="n">
        <v>0</v>
      </c>
      <c r="AM432" t="n">
        <v>0</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HYPERLINK("https://creighton-primo.hosted.exlibrisgroup.com/primo-explore/search?tab=default_tab&amp;search_scope=EVERYTHING&amp;vid=01CRU&amp;lang=en_US&amp;offset=0&amp;query=any,contains,991002237099702656","Catalog Record")</f>
        <v/>
      </c>
      <c r="AT432">
        <f>HYPERLINK("http://www.worldcat.org/oclc/28848617","WorldCat Record")</f>
        <v/>
      </c>
      <c r="AU432" t="inlineStr">
        <is>
          <t>1390614045:eng</t>
        </is>
      </c>
      <c r="AV432" t="inlineStr">
        <is>
          <t>28848617</t>
        </is>
      </c>
      <c r="AW432" t="inlineStr">
        <is>
          <t>991002237099702656</t>
        </is>
      </c>
      <c r="AX432" t="inlineStr">
        <is>
          <t>991002237099702656</t>
        </is>
      </c>
      <c r="AY432" t="inlineStr">
        <is>
          <t>2266829910002656</t>
        </is>
      </c>
      <c r="AZ432" t="inlineStr">
        <is>
          <t>BOOK</t>
        </is>
      </c>
      <c r="BB432" t="inlineStr">
        <is>
          <t>9781556126604</t>
        </is>
      </c>
      <c r="BC432" t="inlineStr">
        <is>
          <t>32285003508958</t>
        </is>
      </c>
      <c r="BD432" t="inlineStr">
        <is>
          <t>893427374</t>
        </is>
      </c>
    </row>
    <row r="433">
      <c r="A433" t="inlineStr">
        <is>
          <t>No</t>
        </is>
      </c>
      <c r="B433" t="inlineStr">
        <is>
          <t>BV4012.2 .W4 1969</t>
        </is>
      </c>
      <c r="C433" t="inlineStr">
        <is>
          <t>0                      BV 4012200W  4           1969</t>
        </is>
      </c>
      <c r="D433" t="inlineStr">
        <is>
          <t>Contemporary pastoral counseling / Eugene J. Weitzel, participating editor.</t>
        </is>
      </c>
      <c r="F433" t="inlineStr">
        <is>
          <t>No</t>
        </is>
      </c>
      <c r="G433" t="inlineStr">
        <is>
          <t>1</t>
        </is>
      </c>
      <c r="H433" t="inlineStr">
        <is>
          <t>No</t>
        </is>
      </c>
      <c r="I433" t="inlineStr">
        <is>
          <t>No</t>
        </is>
      </c>
      <c r="J433" t="inlineStr">
        <is>
          <t>0</t>
        </is>
      </c>
      <c r="K433" t="inlineStr">
        <is>
          <t>Weitzel, Eugene J.</t>
        </is>
      </c>
      <c r="L433" t="inlineStr">
        <is>
          <t>New York : Bruce Pub. Co., [1969]</t>
        </is>
      </c>
      <c r="M433" t="inlineStr">
        <is>
          <t>1969</t>
        </is>
      </c>
      <c r="O433" t="inlineStr">
        <is>
          <t>eng</t>
        </is>
      </c>
      <c r="P433" t="inlineStr">
        <is>
          <t>nyu</t>
        </is>
      </c>
      <c r="R433" t="inlineStr">
        <is>
          <t xml:space="preserve">BV </t>
        </is>
      </c>
      <c r="S433" t="n">
        <v>2</v>
      </c>
      <c r="T433" t="n">
        <v>2</v>
      </c>
      <c r="U433" t="inlineStr">
        <is>
          <t>2006-10-03</t>
        </is>
      </c>
      <c r="V433" t="inlineStr">
        <is>
          <t>2006-10-03</t>
        </is>
      </c>
      <c r="W433" t="inlineStr">
        <is>
          <t>1991-11-08</t>
        </is>
      </c>
      <c r="X433" t="inlineStr">
        <is>
          <t>1991-11-08</t>
        </is>
      </c>
      <c r="Y433" t="n">
        <v>175</v>
      </c>
      <c r="Z433" t="n">
        <v>165</v>
      </c>
      <c r="AA433" t="n">
        <v>170</v>
      </c>
      <c r="AB433" t="n">
        <v>3</v>
      </c>
      <c r="AC433" t="n">
        <v>3</v>
      </c>
      <c r="AD433" t="n">
        <v>9</v>
      </c>
      <c r="AE433" t="n">
        <v>9</v>
      </c>
      <c r="AF433" t="n">
        <v>3</v>
      </c>
      <c r="AG433" t="n">
        <v>3</v>
      </c>
      <c r="AH433" t="n">
        <v>2</v>
      </c>
      <c r="AI433" t="n">
        <v>2</v>
      </c>
      <c r="AJ433" t="n">
        <v>6</v>
      </c>
      <c r="AK433" t="n">
        <v>6</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HYPERLINK("https://creighton-primo.hosted.exlibrisgroup.com/primo-explore/search?tab=default_tab&amp;search_scope=EVERYTHING&amp;vid=01CRU&amp;lang=en_US&amp;offset=0&amp;query=any,contains,991000018329702656","Catalog Record")</f>
        <v/>
      </c>
      <c r="AT433">
        <f>HYPERLINK("http://www.worldcat.org/oclc/17329","WorldCat Record")</f>
        <v/>
      </c>
      <c r="AU433" t="inlineStr">
        <is>
          <t>1139890:eng</t>
        </is>
      </c>
      <c r="AV433" t="inlineStr">
        <is>
          <t>17329</t>
        </is>
      </c>
      <c r="AW433" t="inlineStr">
        <is>
          <t>991000018329702656</t>
        </is>
      </c>
      <c r="AX433" t="inlineStr">
        <is>
          <t>991000018329702656</t>
        </is>
      </c>
      <c r="AY433" t="inlineStr">
        <is>
          <t>2270920580002656</t>
        </is>
      </c>
      <c r="AZ433" t="inlineStr">
        <is>
          <t>BOOK</t>
        </is>
      </c>
      <c r="BC433" t="inlineStr">
        <is>
          <t>32285000820893</t>
        </is>
      </c>
      <c r="BD433" t="inlineStr">
        <is>
          <t>893790176</t>
        </is>
      </c>
    </row>
    <row r="434">
      <c r="A434" t="inlineStr">
        <is>
          <t>No</t>
        </is>
      </c>
      <c r="B434" t="inlineStr">
        <is>
          <t>BV4016 .A78 1996</t>
        </is>
      </c>
      <c r="C434" t="inlineStr">
        <is>
          <t>0                      BV 4016000A  78          1996</t>
        </is>
      </c>
      <c r="D434" t="inlineStr">
        <is>
          <t>The arts of ministry : feminist-womanist approaches / Christie Cozad Neuger, editor.</t>
        </is>
      </c>
      <c r="F434" t="inlineStr">
        <is>
          <t>No</t>
        </is>
      </c>
      <c r="G434" t="inlineStr">
        <is>
          <t>1</t>
        </is>
      </c>
      <c r="H434" t="inlineStr">
        <is>
          <t>No</t>
        </is>
      </c>
      <c r="I434" t="inlineStr">
        <is>
          <t>No</t>
        </is>
      </c>
      <c r="J434" t="inlineStr">
        <is>
          <t>0</t>
        </is>
      </c>
      <c r="L434" t="inlineStr">
        <is>
          <t>Louisville, Ky. : Westminster John Knox Press, c1996.</t>
        </is>
      </c>
      <c r="M434" t="inlineStr">
        <is>
          <t>1996</t>
        </is>
      </c>
      <c r="N434" t="inlineStr">
        <is>
          <t>1st ed.</t>
        </is>
      </c>
      <c r="O434" t="inlineStr">
        <is>
          <t>eng</t>
        </is>
      </c>
      <c r="P434" t="inlineStr">
        <is>
          <t>kyu</t>
        </is>
      </c>
      <c r="R434" t="inlineStr">
        <is>
          <t xml:space="preserve">BV </t>
        </is>
      </c>
      <c r="S434" t="n">
        <v>2</v>
      </c>
      <c r="T434" t="n">
        <v>2</v>
      </c>
      <c r="U434" t="inlineStr">
        <is>
          <t>2003-03-20</t>
        </is>
      </c>
      <c r="V434" t="inlineStr">
        <is>
          <t>2003-03-20</t>
        </is>
      </c>
      <c r="W434" t="inlineStr">
        <is>
          <t>2003-03-20</t>
        </is>
      </c>
      <c r="X434" t="inlineStr">
        <is>
          <t>2003-03-20</t>
        </is>
      </c>
      <c r="Y434" t="n">
        <v>241</v>
      </c>
      <c r="Z434" t="n">
        <v>196</v>
      </c>
      <c r="AA434" t="n">
        <v>515</v>
      </c>
      <c r="AB434" t="n">
        <v>3</v>
      </c>
      <c r="AC434" t="n">
        <v>3</v>
      </c>
      <c r="AD434" t="n">
        <v>15</v>
      </c>
      <c r="AE434" t="n">
        <v>16</v>
      </c>
      <c r="AF434" t="n">
        <v>6</v>
      </c>
      <c r="AG434" t="n">
        <v>7</v>
      </c>
      <c r="AH434" t="n">
        <v>2</v>
      </c>
      <c r="AI434" t="n">
        <v>2</v>
      </c>
      <c r="AJ434" t="n">
        <v>10</v>
      </c>
      <c r="AK434" t="n">
        <v>10</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HYPERLINK("https://creighton-primo.hosted.exlibrisgroup.com/primo-explore/search?tab=default_tab&amp;search_scope=EVERYTHING&amp;vid=01CRU&amp;lang=en_US&amp;offset=0&amp;query=any,contains,991004006679702656","Catalog Record")</f>
        <v/>
      </c>
      <c r="AT434">
        <f>HYPERLINK("http://www.worldcat.org/oclc/33668264","WorldCat Record")</f>
        <v/>
      </c>
      <c r="AU434" t="inlineStr">
        <is>
          <t>799745736:eng</t>
        </is>
      </c>
      <c r="AV434" t="inlineStr">
        <is>
          <t>33668264</t>
        </is>
      </c>
      <c r="AW434" t="inlineStr">
        <is>
          <t>991004006679702656</t>
        </is>
      </c>
      <c r="AX434" t="inlineStr">
        <is>
          <t>991004006679702656</t>
        </is>
      </c>
      <c r="AY434" t="inlineStr">
        <is>
          <t>2256553290002656</t>
        </is>
      </c>
      <c r="AZ434" t="inlineStr">
        <is>
          <t>BOOK</t>
        </is>
      </c>
      <c r="BB434" t="inlineStr">
        <is>
          <t>9780664255930</t>
        </is>
      </c>
      <c r="BC434" t="inlineStr">
        <is>
          <t>32285004685987</t>
        </is>
      </c>
      <c r="BD434" t="inlineStr">
        <is>
          <t>893593157</t>
        </is>
      </c>
    </row>
    <row r="435">
      <c r="A435" t="inlineStr">
        <is>
          <t>No</t>
        </is>
      </c>
      <c r="B435" t="inlineStr">
        <is>
          <t>BV402 .T613</t>
        </is>
      </c>
      <c r="C435" t="inlineStr">
        <is>
          <t>0                      BV 0402000T  613</t>
        </is>
      </c>
      <c r="D435" t="inlineStr">
        <is>
          <t>The person reborn / Paul Tournier. Translated by Edwin Hudson.</t>
        </is>
      </c>
      <c r="F435" t="inlineStr">
        <is>
          <t>No</t>
        </is>
      </c>
      <c r="G435" t="inlineStr">
        <is>
          <t>1</t>
        </is>
      </c>
      <c r="H435" t="inlineStr">
        <is>
          <t>No</t>
        </is>
      </c>
      <c r="I435" t="inlineStr">
        <is>
          <t>No</t>
        </is>
      </c>
      <c r="J435" t="inlineStr">
        <is>
          <t>0</t>
        </is>
      </c>
      <c r="K435" t="inlineStr">
        <is>
          <t>Tournier, Paul.</t>
        </is>
      </c>
      <c r="L435" t="inlineStr">
        <is>
          <t>New York, Harper &amp; Row [c1966]</t>
        </is>
      </c>
      <c r="M435" t="inlineStr">
        <is>
          <t>1966</t>
        </is>
      </c>
      <c r="O435" t="inlineStr">
        <is>
          <t>eng</t>
        </is>
      </c>
      <c r="P435" t="inlineStr">
        <is>
          <t>nyu</t>
        </is>
      </c>
      <c r="R435" t="inlineStr">
        <is>
          <t xml:space="preserve">BV </t>
        </is>
      </c>
      <c r="S435" t="n">
        <v>3</v>
      </c>
      <c r="T435" t="n">
        <v>3</v>
      </c>
      <c r="U435" t="inlineStr">
        <is>
          <t>1994-01-17</t>
        </is>
      </c>
      <c r="V435" t="inlineStr">
        <is>
          <t>1994-01-17</t>
        </is>
      </c>
      <c r="W435" t="inlineStr">
        <is>
          <t>1992-01-08</t>
        </is>
      </c>
      <c r="X435" t="inlineStr">
        <is>
          <t>1992-01-08</t>
        </is>
      </c>
      <c r="Y435" t="n">
        <v>521</v>
      </c>
      <c r="Z435" t="n">
        <v>486</v>
      </c>
      <c r="AA435" t="n">
        <v>569</v>
      </c>
      <c r="AB435" t="n">
        <v>5</v>
      </c>
      <c r="AC435" t="n">
        <v>5</v>
      </c>
      <c r="AD435" t="n">
        <v>16</v>
      </c>
      <c r="AE435" t="n">
        <v>19</v>
      </c>
      <c r="AF435" t="n">
        <v>6</v>
      </c>
      <c r="AG435" t="n">
        <v>7</v>
      </c>
      <c r="AH435" t="n">
        <v>3</v>
      </c>
      <c r="AI435" t="n">
        <v>3</v>
      </c>
      <c r="AJ435" t="n">
        <v>10</v>
      </c>
      <c r="AK435" t="n">
        <v>12</v>
      </c>
      <c r="AL435" t="n">
        <v>2</v>
      </c>
      <c r="AM435" t="n">
        <v>2</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HYPERLINK("https://creighton-primo.hosted.exlibrisgroup.com/primo-explore/search?tab=default_tab&amp;search_scope=EVERYTHING&amp;vid=01CRU&amp;lang=en_US&amp;offset=0&amp;query=any,contains,991003477709702656","Catalog Record")</f>
        <v/>
      </c>
      <c r="AT435">
        <f>HYPERLINK("http://www.worldcat.org/oclc/18569549","WorldCat Record")</f>
        <v/>
      </c>
      <c r="AU435" t="inlineStr">
        <is>
          <t>343058275:eng</t>
        </is>
      </c>
      <c r="AV435" t="inlineStr">
        <is>
          <t>18569549</t>
        </is>
      </c>
      <c r="AW435" t="inlineStr">
        <is>
          <t>991003477709702656</t>
        </is>
      </c>
      <c r="AX435" t="inlineStr">
        <is>
          <t>991003477709702656</t>
        </is>
      </c>
      <c r="AY435" t="inlineStr">
        <is>
          <t>2272053720002656</t>
        </is>
      </c>
      <c r="AZ435" t="inlineStr">
        <is>
          <t>BOOK</t>
        </is>
      </c>
      <c r="BC435" t="inlineStr">
        <is>
          <t>32285000902329</t>
        </is>
      </c>
      <c r="BD435" t="inlineStr">
        <is>
          <t>893893749</t>
        </is>
      </c>
    </row>
    <row r="436">
      <c r="A436" t="inlineStr">
        <is>
          <t>No</t>
        </is>
      </c>
      <c r="B436" t="inlineStr">
        <is>
          <t>BV4020 .C374 1989</t>
        </is>
      </c>
      <c r="C436" t="inlineStr">
        <is>
          <t>0                      BV 4020000C  374         1989</t>
        </is>
      </c>
      <c r="D436" t="inlineStr">
        <is>
          <t>Instruction on the study of the Fathers of the Church in the formation of priests / Congregation for Catholic Education.</t>
        </is>
      </c>
      <c r="F436" t="inlineStr">
        <is>
          <t>No</t>
        </is>
      </c>
      <c r="G436" t="inlineStr">
        <is>
          <t>1</t>
        </is>
      </c>
      <c r="H436" t="inlineStr">
        <is>
          <t>No</t>
        </is>
      </c>
      <c r="I436" t="inlineStr">
        <is>
          <t>No</t>
        </is>
      </c>
      <c r="J436" t="inlineStr">
        <is>
          <t>0</t>
        </is>
      </c>
      <c r="K436" t="inlineStr">
        <is>
          <t>Catholic Church. Congregatio pro Institutione Catholica.</t>
        </is>
      </c>
      <c r="L436" t="inlineStr">
        <is>
          <t>[Washington, D.C. : Office for Publishing and Promotion Services, United States Catholic Conference, 1989]</t>
        </is>
      </c>
      <c r="M436" t="inlineStr">
        <is>
          <t>1990</t>
        </is>
      </c>
      <c r="O436" t="inlineStr">
        <is>
          <t>eng</t>
        </is>
      </c>
      <c r="P436" t="inlineStr">
        <is>
          <t>dcu</t>
        </is>
      </c>
      <c r="Q436" t="inlineStr">
        <is>
          <t>Publication / Office for Publishing and Promotion Services, United States Catholic Conference ; no. 345-0</t>
        </is>
      </c>
      <c r="R436" t="inlineStr">
        <is>
          <t xml:space="preserve">BV </t>
        </is>
      </c>
      <c r="S436" t="n">
        <v>1</v>
      </c>
      <c r="T436" t="n">
        <v>1</v>
      </c>
      <c r="U436" t="inlineStr">
        <is>
          <t>2003-06-13</t>
        </is>
      </c>
      <c r="V436" t="inlineStr">
        <is>
          <t>2003-06-13</t>
        </is>
      </c>
      <c r="W436" t="inlineStr">
        <is>
          <t>1990-05-17</t>
        </is>
      </c>
      <c r="X436" t="inlineStr">
        <is>
          <t>1990-05-17</t>
        </is>
      </c>
      <c r="Y436" t="n">
        <v>70</v>
      </c>
      <c r="Z436" t="n">
        <v>67</v>
      </c>
      <c r="AA436" t="n">
        <v>82</v>
      </c>
      <c r="AB436" t="n">
        <v>1</v>
      </c>
      <c r="AC436" t="n">
        <v>1</v>
      </c>
      <c r="AD436" t="n">
        <v>16</v>
      </c>
      <c r="AE436" t="n">
        <v>16</v>
      </c>
      <c r="AF436" t="n">
        <v>5</v>
      </c>
      <c r="AG436" t="n">
        <v>5</v>
      </c>
      <c r="AH436" t="n">
        <v>4</v>
      </c>
      <c r="AI436" t="n">
        <v>4</v>
      </c>
      <c r="AJ436" t="n">
        <v>12</v>
      </c>
      <c r="AK436" t="n">
        <v>12</v>
      </c>
      <c r="AL436" t="n">
        <v>0</v>
      </c>
      <c r="AM436" t="n">
        <v>0</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HYPERLINK("https://creighton-primo.hosted.exlibrisgroup.com/primo-explore/search?tab=default_tab&amp;search_scope=EVERYTHING&amp;vid=01CRU&amp;lang=en_US&amp;offset=0&amp;query=any,contains,991001685479702656","Catalog Record")</f>
        <v/>
      </c>
      <c r="AT436">
        <f>HYPERLINK("http://www.worldcat.org/oclc/21397812","WorldCat Record")</f>
        <v/>
      </c>
      <c r="AU436" t="inlineStr">
        <is>
          <t>23848262:eng</t>
        </is>
      </c>
      <c r="AV436" t="inlineStr">
        <is>
          <t>21397812</t>
        </is>
      </c>
      <c r="AW436" t="inlineStr">
        <is>
          <t>991001685479702656</t>
        </is>
      </c>
      <c r="AX436" t="inlineStr">
        <is>
          <t>991001685479702656</t>
        </is>
      </c>
      <c r="AY436" t="inlineStr">
        <is>
          <t>2265609560002656</t>
        </is>
      </c>
      <c r="AZ436" t="inlineStr">
        <is>
          <t>BOOK</t>
        </is>
      </c>
      <c r="BB436" t="inlineStr">
        <is>
          <t>9781555863456</t>
        </is>
      </c>
      <c r="BC436" t="inlineStr">
        <is>
          <t>32285000022367</t>
        </is>
      </c>
      <c r="BD436" t="inlineStr">
        <is>
          <t>893250396</t>
        </is>
      </c>
    </row>
    <row r="437">
      <c r="A437" t="inlineStr">
        <is>
          <t>No</t>
        </is>
      </c>
      <c r="B437" t="inlineStr">
        <is>
          <t>BV4020 .K45 1992</t>
        </is>
      </c>
      <c r="C437" t="inlineStr">
        <is>
          <t>0                      BV 4020000K  45          1992</t>
        </is>
      </c>
      <c r="D437" t="inlineStr">
        <is>
          <t>To understand God truly : what's theological about a theological school / David H. Kelsey.</t>
        </is>
      </c>
      <c r="F437" t="inlineStr">
        <is>
          <t>No</t>
        </is>
      </c>
      <c r="G437" t="inlineStr">
        <is>
          <t>1</t>
        </is>
      </c>
      <c r="H437" t="inlineStr">
        <is>
          <t>No</t>
        </is>
      </c>
      <c r="I437" t="inlineStr">
        <is>
          <t>No</t>
        </is>
      </c>
      <c r="J437" t="inlineStr">
        <is>
          <t>0</t>
        </is>
      </c>
      <c r="K437" t="inlineStr">
        <is>
          <t>Kelsey, David H.</t>
        </is>
      </c>
      <c r="L437" t="inlineStr">
        <is>
          <t>Louisville, Ky. : Westminster/John Knox Press, c1992.</t>
        </is>
      </c>
      <c r="M437" t="inlineStr">
        <is>
          <t>1992</t>
        </is>
      </c>
      <c r="N437" t="inlineStr">
        <is>
          <t>1st ed.</t>
        </is>
      </c>
      <c r="O437" t="inlineStr">
        <is>
          <t>eng</t>
        </is>
      </c>
      <c r="P437" t="inlineStr">
        <is>
          <t>kyu</t>
        </is>
      </c>
      <c r="R437" t="inlineStr">
        <is>
          <t xml:space="preserve">BV </t>
        </is>
      </c>
      <c r="S437" t="n">
        <v>5</v>
      </c>
      <c r="T437" t="n">
        <v>5</v>
      </c>
      <c r="U437" t="inlineStr">
        <is>
          <t>2009-09-02</t>
        </is>
      </c>
      <c r="V437" t="inlineStr">
        <is>
          <t>2009-09-02</t>
        </is>
      </c>
      <c r="W437" t="inlineStr">
        <is>
          <t>1994-05-17</t>
        </is>
      </c>
      <c r="X437" t="inlineStr">
        <is>
          <t>1994-05-17</t>
        </is>
      </c>
      <c r="Y437" t="n">
        <v>262</v>
      </c>
      <c r="Z437" t="n">
        <v>205</v>
      </c>
      <c r="AA437" t="n">
        <v>218</v>
      </c>
      <c r="AB437" t="n">
        <v>1</v>
      </c>
      <c r="AC437" t="n">
        <v>2</v>
      </c>
      <c r="AD437" t="n">
        <v>13</v>
      </c>
      <c r="AE437" t="n">
        <v>15</v>
      </c>
      <c r="AF437" t="n">
        <v>5</v>
      </c>
      <c r="AG437" t="n">
        <v>6</v>
      </c>
      <c r="AH437" t="n">
        <v>2</v>
      </c>
      <c r="AI437" t="n">
        <v>3</v>
      </c>
      <c r="AJ437" t="n">
        <v>9</v>
      </c>
      <c r="AK437" t="n">
        <v>9</v>
      </c>
      <c r="AL437" t="n">
        <v>0</v>
      </c>
      <c r="AM437" t="n">
        <v>1</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HYPERLINK("https://creighton-primo.hosted.exlibrisgroup.com/primo-explore/search?tab=default_tab&amp;search_scope=EVERYTHING&amp;vid=01CRU&amp;lang=en_US&amp;offset=0&amp;query=any,contains,991001992339702656","Catalog Record")</f>
        <v/>
      </c>
      <c r="AT437">
        <f>HYPERLINK("http://www.worldcat.org/oclc/25316122","WorldCat Record")</f>
        <v/>
      </c>
      <c r="AU437" t="inlineStr">
        <is>
          <t>476259266:eng</t>
        </is>
      </c>
      <c r="AV437" t="inlineStr">
        <is>
          <t>25316122</t>
        </is>
      </c>
      <c r="AW437" t="inlineStr">
        <is>
          <t>991001992339702656</t>
        </is>
      </c>
      <c r="AX437" t="inlineStr">
        <is>
          <t>991001992339702656</t>
        </is>
      </c>
      <c r="AY437" t="inlineStr">
        <is>
          <t>2268266670002656</t>
        </is>
      </c>
      <c r="AZ437" t="inlineStr">
        <is>
          <t>BOOK</t>
        </is>
      </c>
      <c r="BB437" t="inlineStr">
        <is>
          <t>9780664253974</t>
        </is>
      </c>
      <c r="BC437" t="inlineStr">
        <is>
          <t>32285001896595</t>
        </is>
      </c>
      <c r="BD437" t="inlineStr">
        <is>
          <t>893596909</t>
        </is>
      </c>
    </row>
    <row r="438">
      <c r="A438" t="inlineStr">
        <is>
          <t>No</t>
        </is>
      </c>
      <c r="B438" t="inlineStr">
        <is>
          <t>BV4020 .N5</t>
        </is>
      </c>
      <c r="C438" t="inlineStr">
        <is>
          <t>0                      BV 4020000N  5</t>
        </is>
      </c>
      <c r="D438" t="inlineStr">
        <is>
          <t>The purpose of the church and its ministry : reflections on the aims of theological education / by H. Richard Niebuhr. In collaboration with Daniel Day Williams and James M. Gustafson.</t>
        </is>
      </c>
      <c r="F438" t="inlineStr">
        <is>
          <t>No</t>
        </is>
      </c>
      <c r="G438" t="inlineStr">
        <is>
          <t>1</t>
        </is>
      </c>
      <c r="H438" t="inlineStr">
        <is>
          <t>No</t>
        </is>
      </c>
      <c r="I438" t="inlineStr">
        <is>
          <t>No</t>
        </is>
      </c>
      <c r="J438" t="inlineStr">
        <is>
          <t>0</t>
        </is>
      </c>
      <c r="K438" t="inlineStr">
        <is>
          <t>Niebuhr, H. Richard (Helmut Richard), 1894-1962.</t>
        </is>
      </c>
      <c r="L438" t="inlineStr">
        <is>
          <t>New York, Harper [1956]</t>
        </is>
      </c>
      <c r="M438" t="inlineStr">
        <is>
          <t>1956</t>
        </is>
      </c>
      <c r="N438" t="inlineStr">
        <is>
          <t>[1st ed.]</t>
        </is>
      </c>
      <c r="O438" t="inlineStr">
        <is>
          <t>eng</t>
        </is>
      </c>
      <c r="P438" t="inlineStr">
        <is>
          <t>nyu</t>
        </is>
      </c>
      <c r="R438" t="inlineStr">
        <is>
          <t xml:space="preserve">BV </t>
        </is>
      </c>
      <c r="S438" t="n">
        <v>1</v>
      </c>
      <c r="T438" t="n">
        <v>1</v>
      </c>
      <c r="U438" t="inlineStr">
        <is>
          <t>2006-03-26</t>
        </is>
      </c>
      <c r="V438" t="inlineStr">
        <is>
          <t>2006-03-26</t>
        </is>
      </c>
      <c r="W438" t="inlineStr">
        <is>
          <t>1992-02-20</t>
        </is>
      </c>
      <c r="X438" t="inlineStr">
        <is>
          <t>1992-02-20</t>
        </is>
      </c>
      <c r="Y438" t="n">
        <v>764</v>
      </c>
      <c r="Z438" t="n">
        <v>674</v>
      </c>
      <c r="AA438" t="n">
        <v>737</v>
      </c>
      <c r="AB438" t="n">
        <v>6</v>
      </c>
      <c r="AC438" t="n">
        <v>6</v>
      </c>
      <c r="AD438" t="n">
        <v>34</v>
      </c>
      <c r="AE438" t="n">
        <v>35</v>
      </c>
      <c r="AF438" t="n">
        <v>12</v>
      </c>
      <c r="AG438" t="n">
        <v>13</v>
      </c>
      <c r="AH438" t="n">
        <v>6</v>
      </c>
      <c r="AI438" t="n">
        <v>7</v>
      </c>
      <c r="AJ438" t="n">
        <v>19</v>
      </c>
      <c r="AK438" t="n">
        <v>19</v>
      </c>
      <c r="AL438" t="n">
        <v>4</v>
      </c>
      <c r="AM438" t="n">
        <v>4</v>
      </c>
      <c r="AN438" t="n">
        <v>0</v>
      </c>
      <c r="AO438" t="n">
        <v>0</v>
      </c>
      <c r="AP438" t="inlineStr">
        <is>
          <t>No</t>
        </is>
      </c>
      <c r="AQ438" t="inlineStr">
        <is>
          <t>Yes</t>
        </is>
      </c>
      <c r="AR438">
        <f>HYPERLINK("http://catalog.hathitrust.org/Record/000004445","HathiTrust Record")</f>
        <v/>
      </c>
      <c r="AS438">
        <f>HYPERLINK("https://creighton-primo.hosted.exlibrisgroup.com/primo-explore/search?tab=default_tab&amp;search_scope=EVERYTHING&amp;vid=01CRU&amp;lang=en_US&amp;offset=0&amp;query=any,contains,991002287869702656","Catalog Record")</f>
        <v/>
      </c>
      <c r="AT438">
        <f>HYPERLINK("http://www.worldcat.org/oclc/312081","WorldCat Record")</f>
        <v/>
      </c>
      <c r="AU438" t="inlineStr">
        <is>
          <t>1374438:eng</t>
        </is>
      </c>
      <c r="AV438" t="inlineStr">
        <is>
          <t>312081</t>
        </is>
      </c>
      <c r="AW438" t="inlineStr">
        <is>
          <t>991002287869702656</t>
        </is>
      </c>
      <c r="AX438" t="inlineStr">
        <is>
          <t>991002287869702656</t>
        </is>
      </c>
      <c r="AY438" t="inlineStr">
        <is>
          <t>2271062490002656</t>
        </is>
      </c>
      <c r="AZ438" t="inlineStr">
        <is>
          <t>BOOK</t>
        </is>
      </c>
      <c r="BC438" t="inlineStr">
        <is>
          <t>32285000929959</t>
        </is>
      </c>
      <c r="BD438" t="inlineStr">
        <is>
          <t>893257106</t>
        </is>
      </c>
    </row>
    <row r="439">
      <c r="A439" t="inlineStr">
        <is>
          <t>No</t>
        </is>
      </c>
      <c r="B439" t="inlineStr">
        <is>
          <t>BV4020 .W66 1985</t>
        </is>
      </c>
      <c r="C439" t="inlineStr">
        <is>
          <t>0                      BV 4020000W  66          1985</t>
        </is>
      </c>
      <c r="D439" t="inlineStr">
        <is>
          <t>Vision and discernment : an orientation in theological study / Charles M. Wood.</t>
        </is>
      </c>
      <c r="F439" t="inlineStr">
        <is>
          <t>No</t>
        </is>
      </c>
      <c r="G439" t="inlineStr">
        <is>
          <t>1</t>
        </is>
      </c>
      <c r="H439" t="inlineStr">
        <is>
          <t>No</t>
        </is>
      </c>
      <c r="I439" t="inlineStr">
        <is>
          <t>No</t>
        </is>
      </c>
      <c r="J439" t="inlineStr">
        <is>
          <t>0</t>
        </is>
      </c>
      <c r="K439" t="inlineStr">
        <is>
          <t>Wood, Charles Monroe.</t>
        </is>
      </c>
      <c r="L439" t="inlineStr">
        <is>
          <t>Decatur, Ga. : Scholars Press, c1985.</t>
        </is>
      </c>
      <c r="M439" t="inlineStr">
        <is>
          <t>1985</t>
        </is>
      </c>
      <c r="O439" t="inlineStr">
        <is>
          <t>eng</t>
        </is>
      </c>
      <c r="P439" t="inlineStr">
        <is>
          <t>gau</t>
        </is>
      </c>
      <c r="Q439" t="inlineStr">
        <is>
          <t>Scholars Press studies in religious and theological scholarship</t>
        </is>
      </c>
      <c r="R439" t="inlineStr">
        <is>
          <t xml:space="preserve">BV </t>
        </is>
      </c>
      <c r="S439" t="n">
        <v>3</v>
      </c>
      <c r="T439" t="n">
        <v>3</v>
      </c>
      <c r="U439" t="inlineStr">
        <is>
          <t>2006-03-26</t>
        </is>
      </c>
      <c r="V439" t="inlineStr">
        <is>
          <t>2006-03-26</t>
        </is>
      </c>
      <c r="W439" t="inlineStr">
        <is>
          <t>1991-09-05</t>
        </is>
      </c>
      <c r="X439" t="inlineStr">
        <is>
          <t>1991-09-05</t>
        </is>
      </c>
      <c r="Y439" t="n">
        <v>241</v>
      </c>
      <c r="Z439" t="n">
        <v>192</v>
      </c>
      <c r="AA439" t="n">
        <v>195</v>
      </c>
      <c r="AB439" t="n">
        <v>3</v>
      </c>
      <c r="AC439" t="n">
        <v>3</v>
      </c>
      <c r="AD439" t="n">
        <v>15</v>
      </c>
      <c r="AE439" t="n">
        <v>15</v>
      </c>
      <c r="AF439" t="n">
        <v>5</v>
      </c>
      <c r="AG439" t="n">
        <v>5</v>
      </c>
      <c r="AH439" t="n">
        <v>3</v>
      </c>
      <c r="AI439" t="n">
        <v>3</v>
      </c>
      <c r="AJ439" t="n">
        <v>11</v>
      </c>
      <c r="AK439" t="n">
        <v>11</v>
      </c>
      <c r="AL439" t="n">
        <v>1</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HYPERLINK("https://creighton-primo.hosted.exlibrisgroup.com/primo-explore/search?tab=default_tab&amp;search_scope=EVERYTHING&amp;vid=01CRU&amp;lang=en_US&amp;offset=0&amp;query=any,contains,991000683779702656","Catalog Record")</f>
        <v/>
      </c>
      <c r="AT439">
        <f>HYPERLINK("http://www.worldcat.org/oclc/12419566","WorldCat Record")</f>
        <v/>
      </c>
      <c r="AU439" t="inlineStr">
        <is>
          <t>5028219:eng</t>
        </is>
      </c>
      <c r="AV439" t="inlineStr">
        <is>
          <t>12419566</t>
        </is>
      </c>
      <c r="AW439" t="inlineStr">
        <is>
          <t>991000683779702656</t>
        </is>
      </c>
      <c r="AX439" t="inlineStr">
        <is>
          <t>991000683779702656</t>
        </is>
      </c>
      <c r="AY439" t="inlineStr">
        <is>
          <t>2261906260002656</t>
        </is>
      </c>
      <c r="AZ439" t="inlineStr">
        <is>
          <t>BOOK</t>
        </is>
      </c>
      <c r="BB439" t="inlineStr">
        <is>
          <t>9780891309239</t>
        </is>
      </c>
      <c r="BC439" t="inlineStr">
        <is>
          <t>32285000737352</t>
        </is>
      </c>
      <c r="BD439" t="inlineStr">
        <is>
          <t>893696061</t>
        </is>
      </c>
    </row>
    <row r="440">
      <c r="A440" t="inlineStr">
        <is>
          <t>No</t>
        </is>
      </c>
      <c r="B440" t="inlineStr">
        <is>
          <t>BV4030 .C48 1995</t>
        </is>
      </c>
      <c r="C440" t="inlineStr">
        <is>
          <t>0                      BV 4030000C  48          1995</t>
        </is>
      </c>
      <c r="D440" t="inlineStr">
        <is>
          <t>Christianity and civil society : theological education for public life / Rodney L. Petersen, editor.</t>
        </is>
      </c>
      <c r="F440" t="inlineStr">
        <is>
          <t>No</t>
        </is>
      </c>
      <c r="G440" t="inlineStr">
        <is>
          <t>1</t>
        </is>
      </c>
      <c r="H440" t="inlineStr">
        <is>
          <t>No</t>
        </is>
      </c>
      <c r="I440" t="inlineStr">
        <is>
          <t>No</t>
        </is>
      </c>
      <c r="J440" t="inlineStr">
        <is>
          <t>0</t>
        </is>
      </c>
      <c r="L440" t="inlineStr">
        <is>
          <t>Maryknoll, N.Y. : Orbis Books ; Cambridge, Mass. : Boston Theological Institute, c1995.</t>
        </is>
      </c>
      <c r="M440" t="inlineStr">
        <is>
          <t>1995</t>
        </is>
      </c>
      <c r="O440" t="inlineStr">
        <is>
          <t>eng</t>
        </is>
      </c>
      <c r="P440" t="inlineStr">
        <is>
          <t>nyu</t>
        </is>
      </c>
      <c r="Q440" t="inlineStr">
        <is>
          <t>The Boston Theological Institute annual ; vol. 4</t>
        </is>
      </c>
      <c r="R440" t="inlineStr">
        <is>
          <t xml:space="preserve">BV </t>
        </is>
      </c>
      <c r="S440" t="n">
        <v>2</v>
      </c>
      <c r="T440" t="n">
        <v>2</v>
      </c>
      <c r="U440" t="inlineStr">
        <is>
          <t>2000-11-09</t>
        </is>
      </c>
      <c r="V440" t="inlineStr">
        <is>
          <t>2000-11-09</t>
        </is>
      </c>
      <c r="W440" t="inlineStr">
        <is>
          <t>1996-12-18</t>
        </is>
      </c>
      <c r="X440" t="inlineStr">
        <is>
          <t>1996-12-18</t>
        </is>
      </c>
      <c r="Y440" t="n">
        <v>209</v>
      </c>
      <c r="Z440" t="n">
        <v>180</v>
      </c>
      <c r="AA440" t="n">
        <v>180</v>
      </c>
      <c r="AB440" t="n">
        <v>2</v>
      </c>
      <c r="AC440" t="n">
        <v>2</v>
      </c>
      <c r="AD440" t="n">
        <v>16</v>
      </c>
      <c r="AE440" t="n">
        <v>16</v>
      </c>
      <c r="AF440" t="n">
        <v>5</v>
      </c>
      <c r="AG440" t="n">
        <v>5</v>
      </c>
      <c r="AH440" t="n">
        <v>4</v>
      </c>
      <c r="AI440" t="n">
        <v>4</v>
      </c>
      <c r="AJ440" t="n">
        <v>10</v>
      </c>
      <c r="AK440" t="n">
        <v>10</v>
      </c>
      <c r="AL440" t="n">
        <v>1</v>
      </c>
      <c r="AM440" t="n">
        <v>1</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HYPERLINK("https://creighton-primo.hosted.exlibrisgroup.com/primo-explore/search?tab=default_tab&amp;search_scope=EVERYTHING&amp;vid=01CRU&amp;lang=en_US&amp;offset=0&amp;query=any,contains,991002426809702656","Catalog Record")</f>
        <v/>
      </c>
      <c r="AT440">
        <f>HYPERLINK("http://www.worldcat.org/oclc/31608922","WorldCat Record")</f>
        <v/>
      </c>
      <c r="AU440" t="inlineStr">
        <is>
          <t>891650927:eng</t>
        </is>
      </c>
      <c r="AV440" t="inlineStr">
        <is>
          <t>31608922</t>
        </is>
      </c>
      <c r="AW440" t="inlineStr">
        <is>
          <t>991002426809702656</t>
        </is>
      </c>
      <c r="AX440" t="inlineStr">
        <is>
          <t>991002426809702656</t>
        </is>
      </c>
      <c r="AY440" t="inlineStr">
        <is>
          <t>2266384650002656</t>
        </is>
      </c>
      <c r="AZ440" t="inlineStr">
        <is>
          <t>BOOK</t>
        </is>
      </c>
      <c r="BB440" t="inlineStr">
        <is>
          <t>9781570750090</t>
        </is>
      </c>
      <c r="BC440" t="inlineStr">
        <is>
          <t>32285002400132</t>
        </is>
      </c>
      <c r="BD440" t="inlineStr">
        <is>
          <t>893879911</t>
        </is>
      </c>
    </row>
    <row r="441">
      <c r="A441" t="inlineStr">
        <is>
          <t>No</t>
        </is>
      </c>
      <c r="B441" t="inlineStr">
        <is>
          <t>BV4030 .H68 1985</t>
        </is>
      </c>
      <c r="C441" t="inlineStr">
        <is>
          <t>0                      BV 4030000H  68          1985</t>
        </is>
      </c>
      <c r="D441" t="inlineStr">
        <is>
          <t>Christian identity and theological education / Joseph C. Hough, Jr. and John B. Cobb, Jr.</t>
        </is>
      </c>
      <c r="F441" t="inlineStr">
        <is>
          <t>No</t>
        </is>
      </c>
      <c r="G441" t="inlineStr">
        <is>
          <t>1</t>
        </is>
      </c>
      <c r="H441" t="inlineStr">
        <is>
          <t>No</t>
        </is>
      </c>
      <c r="I441" t="inlineStr">
        <is>
          <t>No</t>
        </is>
      </c>
      <c r="J441" t="inlineStr">
        <is>
          <t>0</t>
        </is>
      </c>
      <c r="K441" t="inlineStr">
        <is>
          <t>Hough, Joseph C.</t>
        </is>
      </c>
      <c r="L441" t="inlineStr">
        <is>
          <t>Chico, Calif. : Scholars Press, c1985.</t>
        </is>
      </c>
      <c r="M441" t="inlineStr">
        <is>
          <t>1985</t>
        </is>
      </c>
      <c r="O441" t="inlineStr">
        <is>
          <t>eng</t>
        </is>
      </c>
      <c r="P441" t="inlineStr">
        <is>
          <t>cau</t>
        </is>
      </c>
      <c r="Q441" t="inlineStr">
        <is>
          <t>Scholars Press studies in religious and theological scholarship</t>
        </is>
      </c>
      <c r="R441" t="inlineStr">
        <is>
          <t xml:space="preserve">BV </t>
        </is>
      </c>
      <c r="S441" t="n">
        <v>5</v>
      </c>
      <c r="T441" t="n">
        <v>5</v>
      </c>
      <c r="U441" t="inlineStr">
        <is>
          <t>2009-09-02</t>
        </is>
      </c>
      <c r="V441" t="inlineStr">
        <is>
          <t>2009-09-02</t>
        </is>
      </c>
      <c r="W441" t="inlineStr">
        <is>
          <t>1992-02-20</t>
        </is>
      </c>
      <c r="X441" t="inlineStr">
        <is>
          <t>1992-02-20</t>
        </is>
      </c>
      <c r="Y441" t="n">
        <v>304</v>
      </c>
      <c r="Z441" t="n">
        <v>236</v>
      </c>
      <c r="AA441" t="n">
        <v>242</v>
      </c>
      <c r="AB441" t="n">
        <v>2</v>
      </c>
      <c r="AC441" t="n">
        <v>2</v>
      </c>
      <c r="AD441" t="n">
        <v>16</v>
      </c>
      <c r="AE441" t="n">
        <v>16</v>
      </c>
      <c r="AF441" t="n">
        <v>4</v>
      </c>
      <c r="AG441" t="n">
        <v>4</v>
      </c>
      <c r="AH441" t="n">
        <v>2</v>
      </c>
      <c r="AI441" t="n">
        <v>2</v>
      </c>
      <c r="AJ441" t="n">
        <v>11</v>
      </c>
      <c r="AK441" t="n">
        <v>11</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HYPERLINK("https://creighton-primo.hosted.exlibrisgroup.com/primo-explore/search?tab=default_tab&amp;search_scope=EVERYTHING&amp;vid=01CRU&amp;lang=en_US&amp;offset=0&amp;query=any,contains,991000642769702656","Catalog Record")</f>
        <v/>
      </c>
      <c r="AT441">
        <f>HYPERLINK("http://www.worldcat.org/oclc/12107437","WorldCat Record")</f>
        <v/>
      </c>
      <c r="AU441" t="inlineStr">
        <is>
          <t>4855637:eng</t>
        </is>
      </c>
      <c r="AV441" t="inlineStr">
        <is>
          <t>12107437</t>
        </is>
      </c>
      <c r="AW441" t="inlineStr">
        <is>
          <t>991000642769702656</t>
        </is>
      </c>
      <c r="AX441" t="inlineStr">
        <is>
          <t>991000642769702656</t>
        </is>
      </c>
      <c r="AY441" t="inlineStr">
        <is>
          <t>2268318380002656</t>
        </is>
      </c>
      <c r="AZ441" t="inlineStr">
        <is>
          <t>BOOK</t>
        </is>
      </c>
      <c r="BB441" t="inlineStr">
        <is>
          <t>9780891308553</t>
        </is>
      </c>
      <c r="BC441" t="inlineStr">
        <is>
          <t>32285000965029</t>
        </is>
      </c>
      <c r="BD441" t="inlineStr">
        <is>
          <t>893714768</t>
        </is>
      </c>
    </row>
    <row r="442">
      <c r="A442" t="inlineStr">
        <is>
          <t>No</t>
        </is>
      </c>
      <c r="B442" t="inlineStr">
        <is>
          <t>BV4030 .Y37 1987</t>
        </is>
      </c>
      <c r="C442" t="inlineStr">
        <is>
          <t>0                      BV 4030000Y  37          1987</t>
        </is>
      </c>
      <c r="D442" t="inlineStr">
        <is>
          <t>The arts in theological education : new possibilities for integration / Wilson Yates.</t>
        </is>
      </c>
      <c r="F442" t="inlineStr">
        <is>
          <t>No</t>
        </is>
      </c>
      <c r="G442" t="inlineStr">
        <is>
          <t>1</t>
        </is>
      </c>
      <c r="H442" t="inlineStr">
        <is>
          <t>No</t>
        </is>
      </c>
      <c r="I442" t="inlineStr">
        <is>
          <t>No</t>
        </is>
      </c>
      <c r="J442" t="inlineStr">
        <is>
          <t>0</t>
        </is>
      </c>
      <c r="K442" t="inlineStr">
        <is>
          <t>Yates, Wilson.</t>
        </is>
      </c>
      <c r="L442" t="inlineStr">
        <is>
          <t>Atlanta, Ga. : Scholars Press, c1987.</t>
        </is>
      </c>
      <c r="M442" t="inlineStr">
        <is>
          <t>1987</t>
        </is>
      </c>
      <c r="O442" t="inlineStr">
        <is>
          <t>eng</t>
        </is>
      </c>
      <c r="P442" t="inlineStr">
        <is>
          <t>gau</t>
        </is>
      </c>
      <c r="Q442" t="inlineStr">
        <is>
          <t>Scholars Press studies in religious and theological scholarship</t>
        </is>
      </c>
      <c r="R442" t="inlineStr">
        <is>
          <t xml:space="preserve">BV </t>
        </is>
      </c>
      <c r="S442" t="n">
        <v>3</v>
      </c>
      <c r="T442" t="n">
        <v>3</v>
      </c>
      <c r="U442" t="inlineStr">
        <is>
          <t>1998-06-26</t>
        </is>
      </c>
      <c r="V442" t="inlineStr">
        <is>
          <t>1998-06-26</t>
        </is>
      </c>
      <c r="W442" t="inlineStr">
        <is>
          <t>1990-05-08</t>
        </is>
      </c>
      <c r="X442" t="inlineStr">
        <is>
          <t>1990-05-08</t>
        </is>
      </c>
      <c r="Y442" t="n">
        <v>253</v>
      </c>
      <c r="Z442" t="n">
        <v>203</v>
      </c>
      <c r="AA442" t="n">
        <v>203</v>
      </c>
      <c r="AB442" t="n">
        <v>3</v>
      </c>
      <c r="AC442" t="n">
        <v>3</v>
      </c>
      <c r="AD442" t="n">
        <v>12</v>
      </c>
      <c r="AE442" t="n">
        <v>12</v>
      </c>
      <c r="AF442" t="n">
        <v>5</v>
      </c>
      <c r="AG442" t="n">
        <v>5</v>
      </c>
      <c r="AH442" t="n">
        <v>3</v>
      </c>
      <c r="AI442" t="n">
        <v>3</v>
      </c>
      <c r="AJ442" t="n">
        <v>3</v>
      </c>
      <c r="AK442" t="n">
        <v>3</v>
      </c>
      <c r="AL442" t="n">
        <v>2</v>
      </c>
      <c r="AM442" t="n">
        <v>2</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HYPERLINK("https://creighton-primo.hosted.exlibrisgroup.com/primo-explore/search?tab=default_tab&amp;search_scope=EVERYTHING&amp;vid=01CRU&amp;lang=en_US&amp;offset=0&amp;query=any,contains,991005408079702656","Catalog Record")</f>
        <v/>
      </c>
      <c r="AT442">
        <f>HYPERLINK("http://www.worldcat.org/oclc/16227793","WorldCat Record")</f>
        <v/>
      </c>
      <c r="AU442" t="inlineStr">
        <is>
          <t>430867793:eng</t>
        </is>
      </c>
      <c r="AV442" t="inlineStr">
        <is>
          <t>16227793</t>
        </is>
      </c>
      <c r="AW442" t="inlineStr">
        <is>
          <t>991005408079702656</t>
        </is>
      </c>
      <c r="AX442" t="inlineStr">
        <is>
          <t>991005408079702656</t>
        </is>
      </c>
      <c r="AY442" t="inlineStr">
        <is>
          <t>2264774230002656</t>
        </is>
      </c>
      <c r="AZ442" t="inlineStr">
        <is>
          <t>BOOK</t>
        </is>
      </c>
      <c r="BB442" t="inlineStr">
        <is>
          <t>9781555401603</t>
        </is>
      </c>
      <c r="BC442" t="inlineStr">
        <is>
          <t>32285000135342</t>
        </is>
      </c>
      <c r="BD442" t="inlineStr">
        <is>
          <t>893601163</t>
        </is>
      </c>
    </row>
    <row r="443">
      <c r="A443" t="inlineStr">
        <is>
          <t>No</t>
        </is>
      </c>
      <c r="B443" t="inlineStr">
        <is>
          <t>BV4070.C8 A54</t>
        </is>
      </c>
      <c r="C443" t="inlineStr">
        <is>
          <t>0                      BV 4070000C  8                  A  54</t>
        </is>
      </c>
      <c r="D443" t="inlineStr">
        <is>
          <t>Exodus from Concordia : a report on the 1974 walkout / by the Board of Control, Concordia Seminary, St. Louis, Missouri.</t>
        </is>
      </c>
      <c r="F443" t="inlineStr">
        <is>
          <t>No</t>
        </is>
      </c>
      <c r="G443" t="inlineStr">
        <is>
          <t>1</t>
        </is>
      </c>
      <c r="H443" t="inlineStr">
        <is>
          <t>No</t>
        </is>
      </c>
      <c r="I443" t="inlineStr">
        <is>
          <t>No</t>
        </is>
      </c>
      <c r="J443" t="inlineStr">
        <is>
          <t>0</t>
        </is>
      </c>
      <c r="K443" t="inlineStr">
        <is>
          <t>Concordia Seminary (Saint Louis, Mo.). Board of Control.</t>
        </is>
      </c>
      <c r="L443" t="inlineStr">
        <is>
          <t>St. Louis : The Board, c1977.</t>
        </is>
      </c>
      <c r="M443" t="inlineStr">
        <is>
          <t>1977</t>
        </is>
      </c>
      <c r="O443" t="inlineStr">
        <is>
          <t>eng</t>
        </is>
      </c>
      <c r="P443" t="inlineStr">
        <is>
          <t>mou</t>
        </is>
      </c>
      <c r="R443" t="inlineStr">
        <is>
          <t xml:space="preserve">BV </t>
        </is>
      </c>
      <c r="S443" t="n">
        <v>5</v>
      </c>
      <c r="T443" t="n">
        <v>5</v>
      </c>
      <c r="U443" t="inlineStr">
        <is>
          <t>1994-11-16</t>
        </is>
      </c>
      <c r="V443" t="inlineStr">
        <is>
          <t>1994-11-16</t>
        </is>
      </c>
      <c r="W443" t="inlineStr">
        <is>
          <t>1992-02-20</t>
        </is>
      </c>
      <c r="X443" t="inlineStr">
        <is>
          <t>1992-02-20</t>
        </is>
      </c>
      <c r="Y443" t="n">
        <v>106</v>
      </c>
      <c r="Z443" t="n">
        <v>98</v>
      </c>
      <c r="AA443" t="n">
        <v>99</v>
      </c>
      <c r="AB443" t="n">
        <v>2</v>
      </c>
      <c r="AC443" t="n">
        <v>2</v>
      </c>
      <c r="AD443" t="n">
        <v>3</v>
      </c>
      <c r="AE443" t="n">
        <v>3</v>
      </c>
      <c r="AF443" t="n">
        <v>1</v>
      </c>
      <c r="AG443" t="n">
        <v>1</v>
      </c>
      <c r="AH443" t="n">
        <v>0</v>
      </c>
      <c r="AI443" t="n">
        <v>0</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HYPERLINK("https://creighton-primo.hosted.exlibrisgroup.com/primo-explore/search?tab=default_tab&amp;search_scope=EVERYTHING&amp;vid=01CRU&amp;lang=en_US&amp;offset=0&amp;query=any,contains,991004392339702656","Catalog Record")</f>
        <v/>
      </c>
      <c r="AT443">
        <f>HYPERLINK("http://www.worldcat.org/oclc/3271741","WorldCat Record")</f>
        <v/>
      </c>
      <c r="AU443" t="inlineStr">
        <is>
          <t>9169836:eng</t>
        </is>
      </c>
      <c r="AV443" t="inlineStr">
        <is>
          <t>3271741</t>
        </is>
      </c>
      <c r="AW443" t="inlineStr">
        <is>
          <t>991004392339702656</t>
        </is>
      </c>
      <c r="AX443" t="inlineStr">
        <is>
          <t>991004392339702656</t>
        </is>
      </c>
      <c r="AY443" t="inlineStr">
        <is>
          <t>2264102270002656</t>
        </is>
      </c>
      <c r="AZ443" t="inlineStr">
        <is>
          <t>BOOK</t>
        </is>
      </c>
      <c r="BC443" t="inlineStr">
        <is>
          <t>32285000965045</t>
        </is>
      </c>
      <c r="BD443" t="inlineStr">
        <is>
          <t>893624671</t>
        </is>
      </c>
    </row>
    <row r="444">
      <c r="A444" t="inlineStr">
        <is>
          <t>No</t>
        </is>
      </c>
      <c r="B444" t="inlineStr">
        <is>
          <t>BV4099 .C53 1977</t>
        </is>
      </c>
      <c r="C444" t="inlineStr">
        <is>
          <t>0                      BV 4099000C  53          1977</t>
        </is>
      </c>
      <c r="D444" t="inlineStr">
        <is>
          <t>Six books on the priesthood / Saint John Chrysostom ; translated with an introd. by Graham Neville.</t>
        </is>
      </c>
      <c r="F444" t="inlineStr">
        <is>
          <t>No</t>
        </is>
      </c>
      <c r="G444" t="inlineStr">
        <is>
          <t>1</t>
        </is>
      </c>
      <c r="H444" t="inlineStr">
        <is>
          <t>No</t>
        </is>
      </c>
      <c r="I444" t="inlineStr">
        <is>
          <t>No</t>
        </is>
      </c>
      <c r="J444" t="inlineStr">
        <is>
          <t>0</t>
        </is>
      </c>
      <c r="K444" t="inlineStr">
        <is>
          <t>John Chrysostom, Saint, -407.</t>
        </is>
      </c>
      <c r="L444" t="inlineStr">
        <is>
          <t>Crestwood, New York : St. Vladimir's Seminary Press, 1977, c1964.</t>
        </is>
      </c>
      <c r="M444" t="inlineStr">
        <is>
          <t>1977</t>
        </is>
      </c>
      <c r="O444" t="inlineStr">
        <is>
          <t>eng</t>
        </is>
      </c>
      <c r="P444" t="inlineStr">
        <is>
          <t>nyu</t>
        </is>
      </c>
      <c r="R444" t="inlineStr">
        <is>
          <t xml:space="preserve">BV </t>
        </is>
      </c>
      <c r="S444" t="n">
        <v>4</v>
      </c>
      <c r="T444" t="n">
        <v>4</v>
      </c>
      <c r="U444" t="inlineStr">
        <is>
          <t>2001-11-01</t>
        </is>
      </c>
      <c r="V444" t="inlineStr">
        <is>
          <t>2001-11-01</t>
        </is>
      </c>
      <c r="W444" t="inlineStr">
        <is>
          <t>1992-02-20</t>
        </is>
      </c>
      <c r="X444" t="inlineStr">
        <is>
          <t>1992-02-20</t>
        </is>
      </c>
      <c r="Y444" t="n">
        <v>134</v>
      </c>
      <c r="Z444" t="n">
        <v>124</v>
      </c>
      <c r="AA444" t="n">
        <v>273</v>
      </c>
      <c r="AB444" t="n">
        <v>1</v>
      </c>
      <c r="AC444" t="n">
        <v>2</v>
      </c>
      <c r="AD444" t="n">
        <v>10</v>
      </c>
      <c r="AE444" t="n">
        <v>16</v>
      </c>
      <c r="AF444" t="n">
        <v>1</v>
      </c>
      <c r="AG444" t="n">
        <v>2</v>
      </c>
      <c r="AH444" t="n">
        <v>2</v>
      </c>
      <c r="AI444" t="n">
        <v>5</v>
      </c>
      <c r="AJ444" t="n">
        <v>7</v>
      </c>
      <c r="AK444" t="n">
        <v>11</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HYPERLINK("https://creighton-primo.hosted.exlibrisgroup.com/primo-explore/search?tab=default_tab&amp;search_scope=EVERYTHING&amp;vid=01CRU&amp;lang=en_US&amp;offset=0&amp;query=any,contains,991004532449702656","Catalog Record")</f>
        <v/>
      </c>
      <c r="AT444">
        <f>HYPERLINK("http://www.worldcat.org/oclc/3855566","WorldCat Record")</f>
        <v/>
      </c>
      <c r="AU444" t="inlineStr">
        <is>
          <t>2643359971:eng</t>
        </is>
      </c>
      <c r="AV444" t="inlineStr">
        <is>
          <t>3855566</t>
        </is>
      </c>
      <c r="AW444" t="inlineStr">
        <is>
          <t>991004532449702656</t>
        </is>
      </c>
      <c r="AX444" t="inlineStr">
        <is>
          <t>991004532449702656</t>
        </is>
      </c>
      <c r="AY444" t="inlineStr">
        <is>
          <t>2268604070002656</t>
        </is>
      </c>
      <c r="AZ444" t="inlineStr">
        <is>
          <t>BOOK</t>
        </is>
      </c>
      <c r="BB444" t="inlineStr">
        <is>
          <t>9780913836385</t>
        </is>
      </c>
      <c r="BC444" t="inlineStr">
        <is>
          <t>32285000965078</t>
        </is>
      </c>
      <c r="BD444" t="inlineStr">
        <is>
          <t>893888833</t>
        </is>
      </c>
    </row>
    <row r="445">
      <c r="A445" t="inlineStr">
        <is>
          <t>No</t>
        </is>
      </c>
      <c r="B445" t="inlineStr">
        <is>
          <t>BV4205 .I5 1902</t>
        </is>
      </c>
      <c r="C445" t="inlineStr">
        <is>
          <t>0                      BV 4205000I  5           1902</t>
        </is>
      </c>
      <c r="D445" t="inlineStr">
        <is>
          <t>Instructions on preaching, catechising and clerical life / by saints and fathers of the Church. Translated by Patrick Boyle.</t>
        </is>
      </c>
      <c r="F445" t="inlineStr">
        <is>
          <t>No</t>
        </is>
      </c>
      <c r="G445" t="inlineStr">
        <is>
          <t>1</t>
        </is>
      </c>
      <c r="H445" t="inlineStr">
        <is>
          <t>No</t>
        </is>
      </c>
      <c r="I445" t="inlineStr">
        <is>
          <t>No</t>
        </is>
      </c>
      <c r="J445" t="inlineStr">
        <is>
          <t>0</t>
        </is>
      </c>
      <c r="L445" t="inlineStr">
        <is>
          <t>Dublin : M.H. Gill, 1902.</t>
        </is>
      </c>
      <c r="M445" t="inlineStr">
        <is>
          <t>1902</t>
        </is>
      </c>
      <c r="O445" t="inlineStr">
        <is>
          <t>eng</t>
        </is>
      </c>
      <c r="P445" t="inlineStr">
        <is>
          <t xml:space="preserve">ie </t>
        </is>
      </c>
      <c r="R445" t="inlineStr">
        <is>
          <t xml:space="preserve">BV </t>
        </is>
      </c>
      <c r="S445" t="n">
        <v>2</v>
      </c>
      <c r="T445" t="n">
        <v>2</v>
      </c>
      <c r="U445" t="inlineStr">
        <is>
          <t>1993-11-19</t>
        </is>
      </c>
      <c r="V445" t="inlineStr">
        <is>
          <t>1993-11-19</t>
        </is>
      </c>
      <c r="W445" t="inlineStr">
        <is>
          <t>1992-02-20</t>
        </is>
      </c>
      <c r="X445" t="inlineStr">
        <is>
          <t>1992-02-20</t>
        </is>
      </c>
      <c r="Y445" t="n">
        <v>16</v>
      </c>
      <c r="Z445" t="n">
        <v>7</v>
      </c>
      <c r="AA445" t="n">
        <v>39</v>
      </c>
      <c r="AB445" t="n">
        <v>1</v>
      </c>
      <c r="AC445" t="n">
        <v>1</v>
      </c>
      <c r="AD445" t="n">
        <v>0</v>
      </c>
      <c r="AE445" t="n">
        <v>4</v>
      </c>
      <c r="AF445" t="n">
        <v>0</v>
      </c>
      <c r="AG445" t="n">
        <v>0</v>
      </c>
      <c r="AH445" t="n">
        <v>0</v>
      </c>
      <c r="AI445" t="n">
        <v>1</v>
      </c>
      <c r="AJ445" t="n">
        <v>0</v>
      </c>
      <c r="AK445" t="n">
        <v>3</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HYPERLINK("https://creighton-primo.hosted.exlibrisgroup.com/primo-explore/search?tab=default_tab&amp;search_scope=EVERYTHING&amp;vid=01CRU&amp;lang=en_US&amp;offset=0&amp;query=any,contains,991005084979702656","Catalog Record")</f>
        <v/>
      </c>
      <c r="AT445">
        <f>HYPERLINK("http://www.worldcat.org/oclc/977148240","WorldCat Record")</f>
        <v/>
      </c>
      <c r="AU445" t="inlineStr">
        <is>
          <t>771468318:eng</t>
        </is>
      </c>
      <c r="AV445" t="inlineStr">
        <is>
          <t>977148240</t>
        </is>
      </c>
      <c r="AW445" t="inlineStr">
        <is>
          <t>991005084979702656</t>
        </is>
      </c>
      <c r="AX445" t="inlineStr">
        <is>
          <t>991005084979702656</t>
        </is>
      </c>
      <c r="AY445" t="inlineStr">
        <is>
          <t>2257441730002656</t>
        </is>
      </c>
      <c r="AZ445" t="inlineStr">
        <is>
          <t>BOOK</t>
        </is>
      </c>
      <c r="BC445" t="inlineStr">
        <is>
          <t>32285000965086</t>
        </is>
      </c>
      <c r="BD445" t="inlineStr">
        <is>
          <t>893789411</t>
        </is>
      </c>
    </row>
    <row r="446">
      <c r="A446" t="inlineStr">
        <is>
          <t>No</t>
        </is>
      </c>
      <c r="B446" t="inlineStr">
        <is>
          <t>BV4207 .P65 1989</t>
        </is>
      </c>
      <c r="C446" t="inlineStr">
        <is>
          <t>0                      BV 4207000P  65          1989</t>
        </is>
      </c>
      <c r="D446" t="inlineStr">
        <is>
          <t>Preaching in the patristic age : studies in honor of Walter J. Burghardt, S.J. / David G. Hunter editor.</t>
        </is>
      </c>
      <c r="F446" t="inlineStr">
        <is>
          <t>No</t>
        </is>
      </c>
      <c r="G446" t="inlineStr">
        <is>
          <t>1</t>
        </is>
      </c>
      <c r="H446" t="inlineStr">
        <is>
          <t>No</t>
        </is>
      </c>
      <c r="I446" t="inlineStr">
        <is>
          <t>No</t>
        </is>
      </c>
      <c r="J446" t="inlineStr">
        <is>
          <t>0</t>
        </is>
      </c>
      <c r="L446" t="inlineStr">
        <is>
          <t>New York : Paulist Press, c1989.</t>
        </is>
      </c>
      <c r="M446" t="inlineStr">
        <is>
          <t>1989</t>
        </is>
      </c>
      <c r="O446" t="inlineStr">
        <is>
          <t>eng</t>
        </is>
      </c>
      <c r="P446" t="inlineStr">
        <is>
          <t>nyu</t>
        </is>
      </c>
      <c r="R446" t="inlineStr">
        <is>
          <t xml:space="preserve">BV </t>
        </is>
      </c>
      <c r="S446" t="n">
        <v>6</v>
      </c>
      <c r="T446" t="n">
        <v>6</v>
      </c>
      <c r="U446" t="inlineStr">
        <is>
          <t>2003-10-18</t>
        </is>
      </c>
      <c r="V446" t="inlineStr">
        <is>
          <t>2003-10-18</t>
        </is>
      </c>
      <c r="W446" t="inlineStr">
        <is>
          <t>1992-02-20</t>
        </is>
      </c>
      <c r="X446" t="inlineStr">
        <is>
          <t>1992-02-20</t>
        </is>
      </c>
      <c r="Y446" t="n">
        <v>277</v>
      </c>
      <c r="Z446" t="n">
        <v>218</v>
      </c>
      <c r="AA446" t="n">
        <v>222</v>
      </c>
      <c r="AB446" t="n">
        <v>3</v>
      </c>
      <c r="AC446" t="n">
        <v>3</v>
      </c>
      <c r="AD446" t="n">
        <v>17</v>
      </c>
      <c r="AE446" t="n">
        <v>17</v>
      </c>
      <c r="AF446" t="n">
        <v>4</v>
      </c>
      <c r="AG446" t="n">
        <v>4</v>
      </c>
      <c r="AH446" t="n">
        <v>4</v>
      </c>
      <c r="AI446" t="n">
        <v>4</v>
      </c>
      <c r="AJ446" t="n">
        <v>12</v>
      </c>
      <c r="AK446" t="n">
        <v>12</v>
      </c>
      <c r="AL446" t="n">
        <v>1</v>
      </c>
      <c r="AM446" t="n">
        <v>1</v>
      </c>
      <c r="AN446" t="n">
        <v>0</v>
      </c>
      <c r="AO446" t="n">
        <v>0</v>
      </c>
      <c r="AP446" t="inlineStr">
        <is>
          <t>No</t>
        </is>
      </c>
      <c r="AQ446" t="inlineStr">
        <is>
          <t>Yes</t>
        </is>
      </c>
      <c r="AR446">
        <f>HYPERLINK("http://catalog.hathitrust.org/Record/001818443","HathiTrust Record")</f>
        <v/>
      </c>
      <c r="AS446">
        <f>HYPERLINK("https://creighton-primo.hosted.exlibrisgroup.com/primo-explore/search?tab=default_tab&amp;search_scope=EVERYTHING&amp;vid=01CRU&amp;lang=en_US&amp;offset=0&amp;query=any,contains,991001471589702656","Catalog Record")</f>
        <v/>
      </c>
      <c r="AT446">
        <f>HYPERLINK("http://www.worldcat.org/oclc/19553621","WorldCat Record")</f>
        <v/>
      </c>
      <c r="AU446" t="inlineStr">
        <is>
          <t>1872062211:eng</t>
        </is>
      </c>
      <c r="AV446" t="inlineStr">
        <is>
          <t>19553621</t>
        </is>
      </c>
      <c r="AW446" t="inlineStr">
        <is>
          <t>991001471589702656</t>
        </is>
      </c>
      <c r="AX446" t="inlineStr">
        <is>
          <t>991001471589702656</t>
        </is>
      </c>
      <c r="AY446" t="inlineStr">
        <is>
          <t>2272136700002656</t>
        </is>
      </c>
      <c r="AZ446" t="inlineStr">
        <is>
          <t>BOOK</t>
        </is>
      </c>
      <c r="BB446" t="inlineStr">
        <is>
          <t>9780809130795</t>
        </is>
      </c>
      <c r="BC446" t="inlineStr">
        <is>
          <t>32285000965136</t>
        </is>
      </c>
      <c r="BD446" t="inlineStr">
        <is>
          <t>893715473</t>
        </is>
      </c>
    </row>
    <row r="447">
      <c r="A447" t="inlineStr">
        <is>
          <t>No</t>
        </is>
      </c>
      <c r="B447" t="inlineStr">
        <is>
          <t>BV4208.F8 D38 1985</t>
        </is>
      </c>
      <c r="C447" t="inlineStr">
        <is>
          <t>0                      BV 4208000F  8                  D  38          1985</t>
        </is>
      </c>
      <c r="D447" t="inlineStr">
        <is>
          <t>The preaching of the friars : sermons diffused from Paris before 1300 / by D.L. D'Avray.</t>
        </is>
      </c>
      <c r="F447" t="inlineStr">
        <is>
          <t>No</t>
        </is>
      </c>
      <c r="G447" t="inlineStr">
        <is>
          <t>1</t>
        </is>
      </c>
      <c r="H447" t="inlineStr">
        <is>
          <t>No</t>
        </is>
      </c>
      <c r="I447" t="inlineStr">
        <is>
          <t>No</t>
        </is>
      </c>
      <c r="J447" t="inlineStr">
        <is>
          <t>0</t>
        </is>
      </c>
      <c r="K447" t="inlineStr">
        <is>
          <t>D'Avray, D. L.</t>
        </is>
      </c>
      <c r="L447" t="inlineStr">
        <is>
          <t>Oxford : Clarendon Press ; New York : Oxford University Press, 1985.</t>
        </is>
      </c>
      <c r="M447" t="inlineStr">
        <is>
          <t>1985</t>
        </is>
      </c>
      <c r="O447" t="inlineStr">
        <is>
          <t>eng</t>
        </is>
      </c>
      <c r="P447" t="inlineStr">
        <is>
          <t>enk</t>
        </is>
      </c>
      <c r="R447" t="inlineStr">
        <is>
          <t xml:space="preserve">BV </t>
        </is>
      </c>
      <c r="S447" t="n">
        <v>2</v>
      </c>
      <c r="T447" t="n">
        <v>2</v>
      </c>
      <c r="U447" t="inlineStr">
        <is>
          <t>1999-07-22</t>
        </is>
      </c>
      <c r="V447" t="inlineStr">
        <is>
          <t>1999-07-22</t>
        </is>
      </c>
      <c r="W447" t="inlineStr">
        <is>
          <t>1992-06-09</t>
        </is>
      </c>
      <c r="X447" t="inlineStr">
        <is>
          <t>1992-06-09</t>
        </is>
      </c>
      <c r="Y447" t="n">
        <v>432</v>
      </c>
      <c r="Z447" t="n">
        <v>314</v>
      </c>
      <c r="AA447" t="n">
        <v>486</v>
      </c>
      <c r="AB447" t="n">
        <v>4</v>
      </c>
      <c r="AC447" t="n">
        <v>6</v>
      </c>
      <c r="AD447" t="n">
        <v>22</v>
      </c>
      <c r="AE447" t="n">
        <v>33</v>
      </c>
      <c r="AF447" t="n">
        <v>6</v>
      </c>
      <c r="AG447" t="n">
        <v>11</v>
      </c>
      <c r="AH447" t="n">
        <v>7</v>
      </c>
      <c r="AI447" t="n">
        <v>9</v>
      </c>
      <c r="AJ447" t="n">
        <v>13</v>
      </c>
      <c r="AK447" t="n">
        <v>17</v>
      </c>
      <c r="AL447" t="n">
        <v>2</v>
      </c>
      <c r="AM447" t="n">
        <v>4</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HYPERLINK("https://creighton-primo.hosted.exlibrisgroup.com/primo-explore/search?tab=default_tab&amp;search_scope=EVERYTHING&amp;vid=01CRU&amp;lang=en_US&amp;offset=0&amp;query=any,contains,991000722939702656","Catalog Record")</f>
        <v/>
      </c>
      <c r="AT447">
        <f>HYPERLINK("http://www.worldcat.org/oclc/12669295","WorldCat Record")</f>
        <v/>
      </c>
      <c r="AU447" t="inlineStr">
        <is>
          <t>836673828:eng</t>
        </is>
      </c>
      <c r="AV447" t="inlineStr">
        <is>
          <t>12669295</t>
        </is>
      </c>
      <c r="AW447" t="inlineStr">
        <is>
          <t>991000722939702656</t>
        </is>
      </c>
      <c r="AX447" t="inlineStr">
        <is>
          <t>991000722939702656</t>
        </is>
      </c>
      <c r="AY447" t="inlineStr">
        <is>
          <t>2268422880002656</t>
        </is>
      </c>
      <c r="AZ447" t="inlineStr">
        <is>
          <t>BOOK</t>
        </is>
      </c>
      <c r="BB447" t="inlineStr">
        <is>
          <t>9780198227724</t>
        </is>
      </c>
      <c r="BC447" t="inlineStr">
        <is>
          <t>32285001074599</t>
        </is>
      </c>
      <c r="BD447" t="inlineStr">
        <is>
          <t>893509043</t>
        </is>
      </c>
    </row>
    <row r="448">
      <c r="A448" t="inlineStr">
        <is>
          <t>No</t>
        </is>
      </c>
      <c r="B448" t="inlineStr">
        <is>
          <t>BV4208.G7 G37</t>
        </is>
      </c>
      <c r="C448" t="inlineStr">
        <is>
          <t>0                      BV 4208000G  7                  G  37</t>
        </is>
      </c>
      <c r="D448" t="inlineStr">
        <is>
          <t>Preaching and theology in Anglo-Saxon England : Aelfric and Wulfstan / Milton McC. Gatch.</t>
        </is>
      </c>
      <c r="F448" t="inlineStr">
        <is>
          <t>No</t>
        </is>
      </c>
      <c r="G448" t="inlineStr">
        <is>
          <t>1</t>
        </is>
      </c>
      <c r="H448" t="inlineStr">
        <is>
          <t>No</t>
        </is>
      </c>
      <c r="I448" t="inlineStr">
        <is>
          <t>No</t>
        </is>
      </c>
      <c r="J448" t="inlineStr">
        <is>
          <t>0</t>
        </is>
      </c>
      <c r="K448" t="inlineStr">
        <is>
          <t>Gatch, Milton McC. (Milton McCormick)</t>
        </is>
      </c>
      <c r="L448" t="inlineStr">
        <is>
          <t>Toronto ; Buffalo : University of Toronto Press, c1977.</t>
        </is>
      </c>
      <c r="M448" t="inlineStr">
        <is>
          <t>1977</t>
        </is>
      </c>
      <c r="O448" t="inlineStr">
        <is>
          <t>eng</t>
        </is>
      </c>
      <c r="P448" t="inlineStr">
        <is>
          <t>onc</t>
        </is>
      </c>
      <c r="R448" t="inlineStr">
        <is>
          <t xml:space="preserve">BV </t>
        </is>
      </c>
      <c r="S448" t="n">
        <v>7</v>
      </c>
      <c r="T448" t="n">
        <v>7</v>
      </c>
      <c r="U448" t="inlineStr">
        <is>
          <t>2005-06-06</t>
        </is>
      </c>
      <c r="V448" t="inlineStr">
        <is>
          <t>2005-06-06</t>
        </is>
      </c>
      <c r="W448" t="inlineStr">
        <is>
          <t>1992-02-21</t>
        </is>
      </c>
      <c r="X448" t="inlineStr">
        <is>
          <t>1992-02-21</t>
        </is>
      </c>
      <c r="Y448" t="n">
        <v>417</v>
      </c>
      <c r="Z448" t="n">
        <v>323</v>
      </c>
      <c r="AA448" t="n">
        <v>455</v>
      </c>
      <c r="AB448" t="n">
        <v>3</v>
      </c>
      <c r="AC448" t="n">
        <v>4</v>
      </c>
      <c r="AD448" t="n">
        <v>17</v>
      </c>
      <c r="AE448" t="n">
        <v>26</v>
      </c>
      <c r="AF448" t="n">
        <v>6</v>
      </c>
      <c r="AG448" t="n">
        <v>12</v>
      </c>
      <c r="AH448" t="n">
        <v>5</v>
      </c>
      <c r="AI448" t="n">
        <v>8</v>
      </c>
      <c r="AJ448" t="n">
        <v>8</v>
      </c>
      <c r="AK448" t="n">
        <v>9</v>
      </c>
      <c r="AL448" t="n">
        <v>2</v>
      </c>
      <c r="AM448" t="n">
        <v>3</v>
      </c>
      <c r="AN448" t="n">
        <v>0</v>
      </c>
      <c r="AO448" t="n">
        <v>0</v>
      </c>
      <c r="AP448" t="inlineStr">
        <is>
          <t>No</t>
        </is>
      </c>
      <c r="AQ448" t="inlineStr">
        <is>
          <t>Yes</t>
        </is>
      </c>
      <c r="AR448">
        <f>HYPERLINK("http://catalog.hathitrust.org/Record/000211398","HathiTrust Record")</f>
        <v/>
      </c>
      <c r="AS448">
        <f>HYPERLINK("https://creighton-primo.hosted.exlibrisgroup.com/primo-explore/search?tab=default_tab&amp;search_scope=EVERYTHING&amp;vid=01CRU&amp;lang=en_US&amp;offset=0&amp;query=any,contains,991004259819702656","Catalog Record")</f>
        <v/>
      </c>
      <c r="AT448">
        <f>HYPERLINK("http://www.worldcat.org/oclc/2837490","WorldCat Record")</f>
        <v/>
      </c>
      <c r="AU448" t="inlineStr">
        <is>
          <t>6496156:eng</t>
        </is>
      </c>
      <c r="AV448" t="inlineStr">
        <is>
          <t>2837490</t>
        </is>
      </c>
      <c r="AW448" t="inlineStr">
        <is>
          <t>991004259819702656</t>
        </is>
      </c>
      <c r="AX448" t="inlineStr">
        <is>
          <t>991004259819702656</t>
        </is>
      </c>
      <c r="AY448" t="inlineStr">
        <is>
          <t>2262142110002656</t>
        </is>
      </c>
      <c r="AZ448" t="inlineStr">
        <is>
          <t>BOOK</t>
        </is>
      </c>
      <c r="BB448" t="inlineStr">
        <is>
          <t>9780802053473</t>
        </is>
      </c>
      <c r="BC448" t="inlineStr">
        <is>
          <t>32285000965169</t>
        </is>
      </c>
      <c r="BD448" t="inlineStr">
        <is>
          <t>893343626</t>
        </is>
      </c>
    </row>
    <row r="449">
      <c r="A449" t="inlineStr">
        <is>
          <t>No</t>
        </is>
      </c>
      <c r="B449" t="inlineStr">
        <is>
          <t>BV4208.G7 M6 1966</t>
        </is>
      </c>
      <c r="C449" t="inlineStr">
        <is>
          <t>0                      BV 4208000G  7                  M  6           1966</t>
        </is>
      </c>
      <c r="D449" t="inlineStr">
        <is>
          <t>The exemplum in the early religious and didactic literature of England / by Joseph Albert Mosher.</t>
        </is>
      </c>
      <c r="F449" t="inlineStr">
        <is>
          <t>No</t>
        </is>
      </c>
      <c r="G449" t="inlineStr">
        <is>
          <t>1</t>
        </is>
      </c>
      <c r="H449" t="inlineStr">
        <is>
          <t>No</t>
        </is>
      </c>
      <c r="I449" t="inlineStr">
        <is>
          <t>No</t>
        </is>
      </c>
      <c r="J449" t="inlineStr">
        <is>
          <t>0</t>
        </is>
      </c>
      <c r="K449" t="inlineStr">
        <is>
          <t>Mosher, Joseph A. (Joseph Albert), 1880-</t>
        </is>
      </c>
      <c r="L449" t="inlineStr">
        <is>
          <t>New York, AMS Press, 1966 [c1911]</t>
        </is>
      </c>
      <c r="M449" t="inlineStr">
        <is>
          <t>1966</t>
        </is>
      </c>
      <c r="O449" t="inlineStr">
        <is>
          <t>eng</t>
        </is>
      </c>
      <c r="P449" t="inlineStr">
        <is>
          <t>___</t>
        </is>
      </c>
      <c r="R449" t="inlineStr">
        <is>
          <t xml:space="preserve">BV </t>
        </is>
      </c>
      <c r="S449" t="n">
        <v>1</v>
      </c>
      <c r="T449" t="n">
        <v>1</v>
      </c>
      <c r="U449" t="inlineStr">
        <is>
          <t>2000-11-08</t>
        </is>
      </c>
      <c r="V449" t="inlineStr">
        <is>
          <t>2000-11-08</t>
        </is>
      </c>
      <c r="W449" t="inlineStr">
        <is>
          <t>1992-02-21</t>
        </is>
      </c>
      <c r="X449" t="inlineStr">
        <is>
          <t>1992-02-21</t>
        </is>
      </c>
      <c r="Y449" t="n">
        <v>153</v>
      </c>
      <c r="Z449" t="n">
        <v>134</v>
      </c>
      <c r="AA449" t="n">
        <v>347</v>
      </c>
      <c r="AB449" t="n">
        <v>1</v>
      </c>
      <c r="AC449" t="n">
        <v>2</v>
      </c>
      <c r="AD449" t="n">
        <v>6</v>
      </c>
      <c r="AE449" t="n">
        <v>20</v>
      </c>
      <c r="AF449" t="n">
        <v>3</v>
      </c>
      <c r="AG449" t="n">
        <v>8</v>
      </c>
      <c r="AH449" t="n">
        <v>3</v>
      </c>
      <c r="AI449" t="n">
        <v>6</v>
      </c>
      <c r="AJ449" t="n">
        <v>2</v>
      </c>
      <c r="AK449" t="n">
        <v>10</v>
      </c>
      <c r="AL449" t="n">
        <v>0</v>
      </c>
      <c r="AM449" t="n">
        <v>1</v>
      </c>
      <c r="AN449" t="n">
        <v>0</v>
      </c>
      <c r="AO449" t="n">
        <v>0</v>
      </c>
      <c r="AP449" t="inlineStr">
        <is>
          <t>No</t>
        </is>
      </c>
      <c r="AQ449" t="inlineStr">
        <is>
          <t>Yes</t>
        </is>
      </c>
      <c r="AR449">
        <f>HYPERLINK("http://catalog.hathitrust.org/Record/000403741","HathiTrust Record")</f>
        <v/>
      </c>
      <c r="AS449">
        <f>HYPERLINK("https://creighton-primo.hosted.exlibrisgroup.com/primo-explore/search?tab=default_tab&amp;search_scope=EVERYTHING&amp;vid=01CRU&amp;lang=en_US&amp;offset=0&amp;query=any,contains,991002643719702656","Catalog Record")</f>
        <v/>
      </c>
      <c r="AT449">
        <f>HYPERLINK("http://www.worldcat.org/oclc/385098","WorldCat Record")</f>
        <v/>
      </c>
      <c r="AU449" t="inlineStr">
        <is>
          <t>1506202:eng</t>
        </is>
      </c>
      <c r="AV449" t="inlineStr">
        <is>
          <t>385098</t>
        </is>
      </c>
      <c r="AW449" t="inlineStr">
        <is>
          <t>991002643719702656</t>
        </is>
      </c>
      <c r="AX449" t="inlineStr">
        <is>
          <t>991002643719702656</t>
        </is>
      </c>
      <c r="AY449" t="inlineStr">
        <is>
          <t>2258973200002656</t>
        </is>
      </c>
      <c r="AZ449" t="inlineStr">
        <is>
          <t>BOOK</t>
        </is>
      </c>
      <c r="BC449" t="inlineStr">
        <is>
          <t>32285000965201</t>
        </is>
      </c>
      <c r="BD449" t="inlineStr">
        <is>
          <t>893511010</t>
        </is>
      </c>
    </row>
    <row r="450">
      <c r="A450" t="inlineStr">
        <is>
          <t>No</t>
        </is>
      </c>
      <c r="B450" t="inlineStr">
        <is>
          <t>BV4208.G7 S64 1993</t>
        </is>
      </c>
      <c r="C450" t="inlineStr">
        <is>
          <t>0                      BV 4208000G  7                  S  64          1993</t>
        </is>
      </c>
      <c r="D450" t="inlineStr">
        <is>
          <t>English preaching in the late Middle Ages / H. Leith Spencer.</t>
        </is>
      </c>
      <c r="F450" t="inlineStr">
        <is>
          <t>No</t>
        </is>
      </c>
      <c r="G450" t="inlineStr">
        <is>
          <t>1</t>
        </is>
      </c>
      <c r="H450" t="inlineStr">
        <is>
          <t>No</t>
        </is>
      </c>
      <c r="I450" t="inlineStr">
        <is>
          <t>No</t>
        </is>
      </c>
      <c r="J450" t="inlineStr">
        <is>
          <t>0</t>
        </is>
      </c>
      <c r="K450" t="inlineStr">
        <is>
          <t>Spencer, H. Leith.</t>
        </is>
      </c>
      <c r="L450" t="inlineStr">
        <is>
          <t>Oxford [England] : Clarendon Press ; Oxford ; New York : Oxford University Press, 1993.</t>
        </is>
      </c>
      <c r="M450" t="inlineStr">
        <is>
          <t>1993</t>
        </is>
      </c>
      <c r="O450" t="inlineStr">
        <is>
          <t>eng</t>
        </is>
      </c>
      <c r="P450" t="inlineStr">
        <is>
          <t>enk</t>
        </is>
      </c>
      <c r="R450" t="inlineStr">
        <is>
          <t xml:space="preserve">BV </t>
        </is>
      </c>
      <c r="S450" t="n">
        <v>2</v>
      </c>
      <c r="T450" t="n">
        <v>2</v>
      </c>
      <c r="U450" t="inlineStr">
        <is>
          <t>1995-07-17</t>
        </is>
      </c>
      <c r="V450" t="inlineStr">
        <is>
          <t>1995-07-17</t>
        </is>
      </c>
      <c r="W450" t="inlineStr">
        <is>
          <t>1994-05-17</t>
        </is>
      </c>
      <c r="X450" t="inlineStr">
        <is>
          <t>1994-05-17</t>
        </is>
      </c>
      <c r="Y450" t="n">
        <v>399</v>
      </c>
      <c r="Z450" t="n">
        <v>281</v>
      </c>
      <c r="AA450" t="n">
        <v>312</v>
      </c>
      <c r="AB450" t="n">
        <v>2</v>
      </c>
      <c r="AC450" t="n">
        <v>2</v>
      </c>
      <c r="AD450" t="n">
        <v>21</v>
      </c>
      <c r="AE450" t="n">
        <v>22</v>
      </c>
      <c r="AF450" t="n">
        <v>8</v>
      </c>
      <c r="AG450" t="n">
        <v>8</v>
      </c>
      <c r="AH450" t="n">
        <v>4</v>
      </c>
      <c r="AI450" t="n">
        <v>5</v>
      </c>
      <c r="AJ450" t="n">
        <v>14</v>
      </c>
      <c r="AK450" t="n">
        <v>14</v>
      </c>
      <c r="AL450" t="n">
        <v>1</v>
      </c>
      <c r="AM450" t="n">
        <v>1</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HYPERLINK("https://creighton-primo.hosted.exlibrisgroup.com/primo-explore/search?tab=default_tab&amp;search_scope=EVERYTHING&amp;vid=01CRU&amp;lang=en_US&amp;offset=0&amp;query=any,contains,991002107909702656","Catalog Record")</f>
        <v/>
      </c>
      <c r="AT450">
        <f>HYPERLINK("http://www.worldcat.org/oclc/27034364","WorldCat Record")</f>
        <v/>
      </c>
      <c r="AU450" t="inlineStr">
        <is>
          <t>328204:eng</t>
        </is>
      </c>
      <c r="AV450" t="inlineStr">
        <is>
          <t>27034364</t>
        </is>
      </c>
      <c r="AW450" t="inlineStr">
        <is>
          <t>991002107909702656</t>
        </is>
      </c>
      <c r="AX450" t="inlineStr">
        <is>
          <t>991002107909702656</t>
        </is>
      </c>
      <c r="AY450" t="inlineStr">
        <is>
          <t>2267336510002656</t>
        </is>
      </c>
      <c r="AZ450" t="inlineStr">
        <is>
          <t>BOOK</t>
        </is>
      </c>
      <c r="BB450" t="inlineStr">
        <is>
          <t>9780198112037</t>
        </is>
      </c>
      <c r="BC450" t="inlineStr">
        <is>
          <t>32285001896835</t>
        </is>
      </c>
      <c r="BD450" t="inlineStr">
        <is>
          <t>893898394</t>
        </is>
      </c>
    </row>
    <row r="451">
      <c r="A451" t="inlineStr">
        <is>
          <t>No</t>
        </is>
      </c>
      <c r="B451" t="inlineStr">
        <is>
          <t>BV4208.U6 H57 1980</t>
        </is>
      </c>
      <c r="C451" t="inlineStr">
        <is>
          <t>0                      BV 4208000U  6                  H  57          1980</t>
        </is>
      </c>
      <c r="D451" t="inlineStr">
        <is>
          <t>The preaching tradition : a brief history / DeWitte T. Holland.</t>
        </is>
      </c>
      <c r="F451" t="inlineStr">
        <is>
          <t>No</t>
        </is>
      </c>
      <c r="G451" t="inlineStr">
        <is>
          <t>1</t>
        </is>
      </c>
      <c r="H451" t="inlineStr">
        <is>
          <t>No</t>
        </is>
      </c>
      <c r="I451" t="inlineStr">
        <is>
          <t>No</t>
        </is>
      </c>
      <c r="J451" t="inlineStr">
        <is>
          <t>0</t>
        </is>
      </c>
      <c r="K451" t="inlineStr">
        <is>
          <t>Holland, DeWitte Talmadge, 1923-2003.</t>
        </is>
      </c>
      <c r="L451" t="inlineStr">
        <is>
          <t>Nashville : Abingdon, c1980.</t>
        </is>
      </c>
      <c r="M451" t="inlineStr">
        <is>
          <t>1980</t>
        </is>
      </c>
      <c r="O451" t="inlineStr">
        <is>
          <t>eng</t>
        </is>
      </c>
      <c r="P451" t="inlineStr">
        <is>
          <t>tnu</t>
        </is>
      </c>
      <c r="Q451" t="inlineStr">
        <is>
          <t>Abingdon preacher's library</t>
        </is>
      </c>
      <c r="R451" t="inlineStr">
        <is>
          <t xml:space="preserve">BV </t>
        </is>
      </c>
      <c r="S451" t="n">
        <v>1</v>
      </c>
      <c r="T451" t="n">
        <v>1</v>
      </c>
      <c r="U451" t="inlineStr">
        <is>
          <t>2006-11-13</t>
        </is>
      </c>
      <c r="V451" t="inlineStr">
        <is>
          <t>2006-11-13</t>
        </is>
      </c>
      <c r="W451" t="inlineStr">
        <is>
          <t>1993-10-29</t>
        </is>
      </c>
      <c r="X451" t="inlineStr">
        <is>
          <t>1993-10-29</t>
        </is>
      </c>
      <c r="Y451" t="n">
        <v>287</v>
      </c>
      <c r="Z451" t="n">
        <v>246</v>
      </c>
      <c r="AA451" t="n">
        <v>246</v>
      </c>
      <c r="AB451" t="n">
        <v>1</v>
      </c>
      <c r="AC451" t="n">
        <v>1</v>
      </c>
      <c r="AD451" t="n">
        <v>12</v>
      </c>
      <c r="AE451" t="n">
        <v>12</v>
      </c>
      <c r="AF451" t="n">
        <v>5</v>
      </c>
      <c r="AG451" t="n">
        <v>5</v>
      </c>
      <c r="AH451" t="n">
        <v>2</v>
      </c>
      <c r="AI451" t="n">
        <v>2</v>
      </c>
      <c r="AJ451" t="n">
        <v>6</v>
      </c>
      <c r="AK451" t="n">
        <v>6</v>
      </c>
      <c r="AL451" t="n">
        <v>0</v>
      </c>
      <c r="AM451" t="n">
        <v>0</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HYPERLINK("https://creighton-primo.hosted.exlibrisgroup.com/primo-explore/search?tab=default_tab&amp;search_scope=EVERYTHING&amp;vid=01CRU&amp;lang=en_US&amp;offset=0&amp;query=any,contains,991004960919702656","Catalog Record")</f>
        <v/>
      </c>
      <c r="AT451">
        <f>HYPERLINK("http://www.worldcat.org/oclc/6305005","WorldCat Record")</f>
        <v/>
      </c>
      <c r="AU451" t="inlineStr">
        <is>
          <t>1090317119:eng</t>
        </is>
      </c>
      <c r="AV451" t="inlineStr">
        <is>
          <t>6305005</t>
        </is>
      </c>
      <c r="AW451" t="inlineStr">
        <is>
          <t>991004960919702656</t>
        </is>
      </c>
      <c r="AX451" t="inlineStr">
        <is>
          <t>991004960919702656</t>
        </is>
      </c>
      <c r="AY451" t="inlineStr">
        <is>
          <t>2259016610002656</t>
        </is>
      </c>
      <c r="AZ451" t="inlineStr">
        <is>
          <t>BOOK</t>
        </is>
      </c>
      <c r="BB451" t="inlineStr">
        <is>
          <t>9780687338757</t>
        </is>
      </c>
      <c r="BC451" t="inlineStr">
        <is>
          <t>32285001795573</t>
        </is>
      </c>
      <c r="BD451" t="inlineStr">
        <is>
          <t>893242026</t>
        </is>
      </c>
    </row>
    <row r="452">
      <c r="A452" t="inlineStr">
        <is>
          <t>No</t>
        </is>
      </c>
      <c r="B452" t="inlineStr">
        <is>
          <t>BV4211.2 .A27</t>
        </is>
      </c>
      <c r="C452" t="inlineStr">
        <is>
          <t>0                      BV 4211200A  27</t>
        </is>
      </c>
      <c r="D452" t="inlineStr">
        <is>
          <t>Creative preaching : finding the words / Elizabeth Achtemeier.</t>
        </is>
      </c>
      <c r="F452" t="inlineStr">
        <is>
          <t>No</t>
        </is>
      </c>
      <c r="G452" t="inlineStr">
        <is>
          <t>1</t>
        </is>
      </c>
      <c r="H452" t="inlineStr">
        <is>
          <t>No</t>
        </is>
      </c>
      <c r="I452" t="inlineStr">
        <is>
          <t>No</t>
        </is>
      </c>
      <c r="J452" t="inlineStr">
        <is>
          <t>0</t>
        </is>
      </c>
      <c r="K452" t="inlineStr">
        <is>
          <t>Achtemeier, Elizabeth, 1926-2002.</t>
        </is>
      </c>
      <c r="L452" t="inlineStr">
        <is>
          <t>Nashville : Abingdon, c1980, 1981 printing.</t>
        </is>
      </c>
      <c r="M452" t="inlineStr">
        <is>
          <t>1980</t>
        </is>
      </c>
      <c r="O452" t="inlineStr">
        <is>
          <t>eng</t>
        </is>
      </c>
      <c r="P452" t="inlineStr">
        <is>
          <t>tnu</t>
        </is>
      </c>
      <c r="Q452" t="inlineStr">
        <is>
          <t>Abingdon preacher's library</t>
        </is>
      </c>
      <c r="R452" t="inlineStr">
        <is>
          <t xml:space="preserve">BV </t>
        </is>
      </c>
      <c r="S452" t="n">
        <v>2</v>
      </c>
      <c r="T452" t="n">
        <v>2</v>
      </c>
      <c r="U452" t="inlineStr">
        <is>
          <t>1996-02-09</t>
        </is>
      </c>
      <c r="V452" t="inlineStr">
        <is>
          <t>1996-02-09</t>
        </is>
      </c>
      <c r="W452" t="inlineStr">
        <is>
          <t>1992-02-21</t>
        </is>
      </c>
      <c r="X452" t="inlineStr">
        <is>
          <t>1992-02-21</t>
        </is>
      </c>
      <c r="Y452" t="n">
        <v>307</v>
      </c>
      <c r="Z452" t="n">
        <v>255</v>
      </c>
      <c r="AA452" t="n">
        <v>256</v>
      </c>
      <c r="AB452" t="n">
        <v>3</v>
      </c>
      <c r="AC452" t="n">
        <v>3</v>
      </c>
      <c r="AD452" t="n">
        <v>13</v>
      </c>
      <c r="AE452" t="n">
        <v>13</v>
      </c>
      <c r="AF452" t="n">
        <v>6</v>
      </c>
      <c r="AG452" t="n">
        <v>6</v>
      </c>
      <c r="AH452" t="n">
        <v>2</v>
      </c>
      <c r="AI452" t="n">
        <v>2</v>
      </c>
      <c r="AJ452" t="n">
        <v>6</v>
      </c>
      <c r="AK452" t="n">
        <v>6</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HYPERLINK("https://creighton-primo.hosted.exlibrisgroup.com/primo-explore/search?tab=default_tab&amp;search_scope=EVERYTHING&amp;vid=01CRU&amp;lang=en_US&amp;offset=0&amp;query=any,contains,991004970539702656","Catalog Record")</f>
        <v/>
      </c>
      <c r="AT452">
        <f>HYPERLINK("http://www.worldcat.org/oclc/6357447","WorldCat Record")</f>
        <v/>
      </c>
      <c r="AU452" t="inlineStr">
        <is>
          <t>865296536:eng</t>
        </is>
      </c>
      <c r="AV452" t="inlineStr">
        <is>
          <t>6357447</t>
        </is>
      </c>
      <c r="AW452" t="inlineStr">
        <is>
          <t>991004970539702656</t>
        </is>
      </c>
      <c r="AX452" t="inlineStr">
        <is>
          <t>991004970539702656</t>
        </is>
      </c>
      <c r="AY452" t="inlineStr">
        <is>
          <t>2256113780002656</t>
        </is>
      </c>
      <c r="AZ452" t="inlineStr">
        <is>
          <t>BOOK</t>
        </is>
      </c>
      <c r="BB452" t="inlineStr">
        <is>
          <t>9780687098316</t>
        </is>
      </c>
      <c r="BC452" t="inlineStr">
        <is>
          <t>32285000965318</t>
        </is>
      </c>
      <c r="BD452" t="inlineStr">
        <is>
          <t>893776643</t>
        </is>
      </c>
    </row>
    <row r="453">
      <c r="A453" t="inlineStr">
        <is>
          <t>No</t>
        </is>
      </c>
      <c r="B453" t="inlineStr">
        <is>
          <t>BV4211.2 .B78 1977</t>
        </is>
      </c>
      <c r="C453" t="inlineStr">
        <is>
          <t>0                      BV 4211200B  78          1977</t>
        </is>
      </c>
      <c r="D453" t="inlineStr">
        <is>
          <t>Telling the truth : the Gospel as tragedy, comedy, and fairy tale / Frederick Buechner.</t>
        </is>
      </c>
      <c r="F453" t="inlineStr">
        <is>
          <t>No</t>
        </is>
      </c>
      <c r="G453" t="inlineStr">
        <is>
          <t>1</t>
        </is>
      </c>
      <c r="H453" t="inlineStr">
        <is>
          <t>No</t>
        </is>
      </c>
      <c r="I453" t="inlineStr">
        <is>
          <t>No</t>
        </is>
      </c>
      <c r="J453" t="inlineStr">
        <is>
          <t>0</t>
        </is>
      </c>
      <c r="K453" t="inlineStr">
        <is>
          <t>Buechner, Frederick, 1926-</t>
        </is>
      </c>
      <c r="L453" t="inlineStr">
        <is>
          <t>San Francisco : Harper &amp; Row, c1977.</t>
        </is>
      </c>
      <c r="M453" t="inlineStr">
        <is>
          <t>1977</t>
        </is>
      </c>
      <c r="O453" t="inlineStr">
        <is>
          <t>eng</t>
        </is>
      </c>
      <c r="P453" t="inlineStr">
        <is>
          <t>cau</t>
        </is>
      </c>
      <c r="R453" t="inlineStr">
        <is>
          <t xml:space="preserve">BV </t>
        </is>
      </c>
      <c r="S453" t="n">
        <v>4</v>
      </c>
      <c r="T453" t="n">
        <v>4</v>
      </c>
      <c r="U453" t="inlineStr">
        <is>
          <t>2007-07-08</t>
        </is>
      </c>
      <c r="V453" t="inlineStr">
        <is>
          <t>2007-07-08</t>
        </is>
      </c>
      <c r="W453" t="inlineStr">
        <is>
          <t>2004-03-17</t>
        </is>
      </c>
      <c r="X453" t="inlineStr">
        <is>
          <t>2004-03-17</t>
        </is>
      </c>
      <c r="Y453" t="n">
        <v>1093</v>
      </c>
      <c r="Z453" t="n">
        <v>995</v>
      </c>
      <c r="AA453" t="n">
        <v>1016</v>
      </c>
      <c r="AB453" t="n">
        <v>9</v>
      </c>
      <c r="AC453" t="n">
        <v>9</v>
      </c>
      <c r="AD453" t="n">
        <v>42</v>
      </c>
      <c r="AE453" t="n">
        <v>44</v>
      </c>
      <c r="AF453" t="n">
        <v>16</v>
      </c>
      <c r="AG453" t="n">
        <v>18</v>
      </c>
      <c r="AH453" t="n">
        <v>8</v>
      </c>
      <c r="AI453" t="n">
        <v>8</v>
      </c>
      <c r="AJ453" t="n">
        <v>23</v>
      </c>
      <c r="AK453" t="n">
        <v>23</v>
      </c>
      <c r="AL453" t="n">
        <v>7</v>
      </c>
      <c r="AM453" t="n">
        <v>7</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HYPERLINK("https://creighton-primo.hosted.exlibrisgroup.com/primo-explore/search?tab=default_tab&amp;search_scope=EVERYTHING&amp;vid=01CRU&amp;lang=en_US&amp;offset=0&amp;query=any,contains,991004263969702656","Catalog Record")</f>
        <v/>
      </c>
      <c r="AT453">
        <f>HYPERLINK("http://www.worldcat.org/oclc/3204501","WorldCat Record")</f>
        <v/>
      </c>
      <c r="AU453" t="inlineStr">
        <is>
          <t>907938944:eng</t>
        </is>
      </c>
      <c r="AV453" t="inlineStr">
        <is>
          <t>3204501</t>
        </is>
      </c>
      <c r="AW453" t="inlineStr">
        <is>
          <t>991004263969702656</t>
        </is>
      </c>
      <c r="AX453" t="inlineStr">
        <is>
          <t>991004263969702656</t>
        </is>
      </c>
      <c r="AY453" t="inlineStr">
        <is>
          <t>2269445870002656</t>
        </is>
      </c>
      <c r="AZ453" t="inlineStr">
        <is>
          <t>BOOK</t>
        </is>
      </c>
      <c r="BB453" t="inlineStr">
        <is>
          <t>9780060611569</t>
        </is>
      </c>
      <c r="BC453" t="inlineStr">
        <is>
          <t>32285004895008</t>
        </is>
      </c>
      <c r="BD453" t="inlineStr">
        <is>
          <t>893875884</t>
        </is>
      </c>
    </row>
    <row r="454">
      <c r="A454" t="inlineStr">
        <is>
          <t>No</t>
        </is>
      </c>
      <c r="B454" t="inlineStr">
        <is>
          <t>BV4211.2 .B86 1988</t>
        </is>
      </c>
      <c r="C454" t="inlineStr">
        <is>
          <t>0                      BV 4211200B  86          1988</t>
        </is>
      </c>
      <c r="D454" t="inlineStr">
        <is>
          <t>Homiletic : moves and structures / David Buttrick.</t>
        </is>
      </c>
      <c r="F454" t="inlineStr">
        <is>
          <t>No</t>
        </is>
      </c>
      <c r="G454" t="inlineStr">
        <is>
          <t>1</t>
        </is>
      </c>
      <c r="H454" t="inlineStr">
        <is>
          <t>No</t>
        </is>
      </c>
      <c r="I454" t="inlineStr">
        <is>
          <t>No</t>
        </is>
      </c>
      <c r="J454" t="inlineStr">
        <is>
          <t>0</t>
        </is>
      </c>
      <c r="K454" t="inlineStr">
        <is>
          <t>Buttrick, David, 1927-</t>
        </is>
      </c>
      <c r="L454" t="inlineStr">
        <is>
          <t>Philadelphia : Fortress Press, 1988, c1987.</t>
        </is>
      </c>
      <c r="M454" t="inlineStr">
        <is>
          <t>1988</t>
        </is>
      </c>
      <c r="O454" t="inlineStr">
        <is>
          <t>eng</t>
        </is>
      </c>
      <c r="P454" t="inlineStr">
        <is>
          <t>pau</t>
        </is>
      </c>
      <c r="R454" t="inlineStr">
        <is>
          <t xml:space="preserve">BV </t>
        </is>
      </c>
      <c r="S454" t="n">
        <v>1</v>
      </c>
      <c r="T454" t="n">
        <v>1</v>
      </c>
      <c r="U454" t="inlineStr">
        <is>
          <t>2005-04-13</t>
        </is>
      </c>
      <c r="V454" t="inlineStr">
        <is>
          <t>2005-04-13</t>
        </is>
      </c>
      <c r="W454" t="inlineStr">
        <is>
          <t>2005-04-13</t>
        </is>
      </c>
      <c r="X454" t="inlineStr">
        <is>
          <t>2005-04-13</t>
        </is>
      </c>
      <c r="Y454" t="n">
        <v>151</v>
      </c>
      <c r="Z454" t="n">
        <v>134</v>
      </c>
      <c r="AA454" t="n">
        <v>361</v>
      </c>
      <c r="AB454" t="n">
        <v>3</v>
      </c>
      <c r="AC454" t="n">
        <v>6</v>
      </c>
      <c r="AD454" t="n">
        <v>7</v>
      </c>
      <c r="AE454" t="n">
        <v>19</v>
      </c>
      <c r="AF454" t="n">
        <v>3</v>
      </c>
      <c r="AG454" t="n">
        <v>7</v>
      </c>
      <c r="AH454" t="n">
        <v>1</v>
      </c>
      <c r="AI454" t="n">
        <v>2</v>
      </c>
      <c r="AJ454" t="n">
        <v>2</v>
      </c>
      <c r="AK454" t="n">
        <v>10</v>
      </c>
      <c r="AL454" t="n">
        <v>1</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HYPERLINK("https://creighton-primo.hosted.exlibrisgroup.com/primo-explore/search?tab=default_tab&amp;search_scope=EVERYTHING&amp;vid=01CRU&amp;lang=en_US&amp;offset=0&amp;query=any,contains,991004528769702656","Catalog Record")</f>
        <v/>
      </c>
      <c r="AT454">
        <f>HYPERLINK("http://www.worldcat.org/oclc/17849370","WorldCat Record")</f>
        <v/>
      </c>
      <c r="AU454" t="inlineStr">
        <is>
          <t>292450555:eng</t>
        </is>
      </c>
      <c r="AV454" t="inlineStr">
        <is>
          <t>17849370</t>
        </is>
      </c>
      <c r="AW454" t="inlineStr">
        <is>
          <t>991004528769702656</t>
        </is>
      </c>
      <c r="AX454" t="inlineStr">
        <is>
          <t>991004528769702656</t>
        </is>
      </c>
      <c r="AY454" t="inlineStr">
        <is>
          <t>2263585480002656</t>
        </is>
      </c>
      <c r="AZ454" t="inlineStr">
        <is>
          <t>BOOK</t>
        </is>
      </c>
      <c r="BB454" t="inlineStr">
        <is>
          <t>9780800620967</t>
        </is>
      </c>
      <c r="BC454" t="inlineStr">
        <is>
          <t>32285005030746</t>
        </is>
      </c>
      <c r="BD454" t="inlineStr">
        <is>
          <t>893241544</t>
        </is>
      </c>
    </row>
    <row r="455">
      <c r="A455" t="inlineStr">
        <is>
          <t>No</t>
        </is>
      </c>
      <c r="B455" t="inlineStr">
        <is>
          <t>BV4211.2 .C26 1997</t>
        </is>
      </c>
      <c r="C455" t="inlineStr">
        <is>
          <t>0                      BV 4211200C  26          1997</t>
        </is>
      </c>
      <c r="D455" t="inlineStr">
        <is>
          <t>Preaching Jesus : new directions for homiletics in Hans Frei's postliberal theology / Charles L. Campbell.</t>
        </is>
      </c>
      <c r="F455" t="inlineStr">
        <is>
          <t>No</t>
        </is>
      </c>
      <c r="G455" t="inlineStr">
        <is>
          <t>1</t>
        </is>
      </c>
      <c r="H455" t="inlineStr">
        <is>
          <t>No</t>
        </is>
      </c>
      <c r="I455" t="inlineStr">
        <is>
          <t>No</t>
        </is>
      </c>
      <c r="J455" t="inlineStr">
        <is>
          <t>0</t>
        </is>
      </c>
      <c r="K455" t="inlineStr">
        <is>
          <t>Campbell, Charles L., 1954-</t>
        </is>
      </c>
      <c r="L455" t="inlineStr">
        <is>
          <t>Grand Rapids, Mich. : W.B. Eerdmans Pub., 1997.</t>
        </is>
      </c>
      <c r="M455" t="inlineStr">
        <is>
          <t>1997</t>
        </is>
      </c>
      <c r="O455" t="inlineStr">
        <is>
          <t>eng</t>
        </is>
      </c>
      <c r="P455" t="inlineStr">
        <is>
          <t>miu</t>
        </is>
      </c>
      <c r="R455" t="inlineStr">
        <is>
          <t xml:space="preserve">BV </t>
        </is>
      </c>
      <c r="S455" t="n">
        <v>2</v>
      </c>
      <c r="T455" t="n">
        <v>2</v>
      </c>
      <c r="U455" t="inlineStr">
        <is>
          <t>2004-06-07</t>
        </is>
      </c>
      <c r="V455" t="inlineStr">
        <is>
          <t>2004-06-07</t>
        </is>
      </c>
      <c r="W455" t="inlineStr">
        <is>
          <t>1997-10-20</t>
        </is>
      </c>
      <c r="X455" t="inlineStr">
        <is>
          <t>1997-10-20</t>
        </is>
      </c>
      <c r="Y455" t="n">
        <v>192</v>
      </c>
      <c r="Z455" t="n">
        <v>150</v>
      </c>
      <c r="AA455" t="n">
        <v>164</v>
      </c>
      <c r="AB455" t="n">
        <v>1</v>
      </c>
      <c r="AC455" t="n">
        <v>2</v>
      </c>
      <c r="AD455" t="n">
        <v>13</v>
      </c>
      <c r="AE455" t="n">
        <v>15</v>
      </c>
      <c r="AF455" t="n">
        <v>5</v>
      </c>
      <c r="AG455" t="n">
        <v>6</v>
      </c>
      <c r="AH455" t="n">
        <v>3</v>
      </c>
      <c r="AI455" t="n">
        <v>4</v>
      </c>
      <c r="AJ455" t="n">
        <v>9</v>
      </c>
      <c r="AK455" t="n">
        <v>9</v>
      </c>
      <c r="AL455" t="n">
        <v>0</v>
      </c>
      <c r="AM455" t="n">
        <v>1</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HYPERLINK("https://creighton-primo.hosted.exlibrisgroup.com/primo-explore/search?tab=default_tab&amp;search_scope=EVERYTHING&amp;vid=01CRU&amp;lang=en_US&amp;offset=0&amp;query=any,contains,991002755089702656","Catalog Record")</f>
        <v/>
      </c>
      <c r="AT455">
        <f>HYPERLINK("http://www.worldcat.org/oclc/36135886","WorldCat Record")</f>
        <v/>
      </c>
      <c r="AU455" t="inlineStr">
        <is>
          <t>5921071:eng</t>
        </is>
      </c>
      <c r="AV455" t="inlineStr">
        <is>
          <t>36135886</t>
        </is>
      </c>
      <c r="AW455" t="inlineStr">
        <is>
          <t>991002755089702656</t>
        </is>
      </c>
      <c r="AX455" t="inlineStr">
        <is>
          <t>991002755089702656</t>
        </is>
      </c>
      <c r="AY455" t="inlineStr">
        <is>
          <t>2263499620002656</t>
        </is>
      </c>
      <c r="AZ455" t="inlineStr">
        <is>
          <t>BOOK</t>
        </is>
      </c>
      <c r="BB455" t="inlineStr">
        <is>
          <t>9780802841568</t>
        </is>
      </c>
      <c r="BC455" t="inlineStr">
        <is>
          <t>32285003256459</t>
        </is>
      </c>
      <c r="BD455" t="inlineStr">
        <is>
          <t>893792870</t>
        </is>
      </c>
    </row>
    <row r="456">
      <c r="A456" t="inlineStr">
        <is>
          <t>No</t>
        </is>
      </c>
      <c r="B456" t="inlineStr">
        <is>
          <t>BV4211.2 .C47 1970</t>
        </is>
      </c>
      <c r="C456" t="inlineStr">
        <is>
          <t>0                      BV 4211200C  47          1970</t>
        </is>
      </c>
      <c r="D456" t="inlineStr">
        <is>
          <t>The theology of the word of God / by Aloysius Church.</t>
        </is>
      </c>
      <c r="F456" t="inlineStr">
        <is>
          <t>No</t>
        </is>
      </c>
      <c r="G456" t="inlineStr">
        <is>
          <t>1</t>
        </is>
      </c>
      <c r="H456" t="inlineStr">
        <is>
          <t>No</t>
        </is>
      </c>
      <c r="I456" t="inlineStr">
        <is>
          <t>No</t>
        </is>
      </c>
      <c r="J456" t="inlineStr">
        <is>
          <t>0</t>
        </is>
      </c>
      <c r="K456" t="inlineStr">
        <is>
          <t>Church, Aloysius.</t>
        </is>
      </c>
      <c r="L456" t="inlineStr">
        <is>
          <t>Notre Dame, Ind. : Fides Publishers, [c1970]</t>
        </is>
      </c>
      <c r="M456" t="inlineStr">
        <is>
          <t>1970</t>
        </is>
      </c>
      <c r="O456" t="inlineStr">
        <is>
          <t>eng</t>
        </is>
      </c>
      <c r="P456" t="inlineStr">
        <is>
          <t>inu</t>
        </is>
      </c>
      <c r="Q456" t="inlineStr">
        <is>
          <t>Theology today ; no. 12</t>
        </is>
      </c>
      <c r="R456" t="inlineStr">
        <is>
          <t xml:space="preserve">BV </t>
        </is>
      </c>
      <c r="S456" t="n">
        <v>1</v>
      </c>
      <c r="T456" t="n">
        <v>1</v>
      </c>
      <c r="U456" t="inlineStr">
        <is>
          <t>1998-06-16</t>
        </is>
      </c>
      <c r="V456" t="inlineStr">
        <is>
          <t>1998-06-16</t>
        </is>
      </c>
      <c r="W456" t="inlineStr">
        <is>
          <t>1992-02-21</t>
        </is>
      </c>
      <c r="X456" t="inlineStr">
        <is>
          <t>1992-02-21</t>
        </is>
      </c>
      <c r="Y456" t="n">
        <v>162</v>
      </c>
      <c r="Z456" t="n">
        <v>133</v>
      </c>
      <c r="AA456" t="n">
        <v>138</v>
      </c>
      <c r="AB456" t="n">
        <v>2</v>
      </c>
      <c r="AC456" t="n">
        <v>2</v>
      </c>
      <c r="AD456" t="n">
        <v>16</v>
      </c>
      <c r="AE456" t="n">
        <v>17</v>
      </c>
      <c r="AF456" t="n">
        <v>3</v>
      </c>
      <c r="AG456" t="n">
        <v>3</v>
      </c>
      <c r="AH456" t="n">
        <v>5</v>
      </c>
      <c r="AI456" t="n">
        <v>5</v>
      </c>
      <c r="AJ456" t="n">
        <v>12</v>
      </c>
      <c r="AK456" t="n">
        <v>13</v>
      </c>
      <c r="AL456" t="n">
        <v>0</v>
      </c>
      <c r="AM456" t="n">
        <v>0</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HYPERLINK("https://creighton-primo.hosted.exlibrisgroup.com/primo-explore/search?tab=default_tab&amp;search_scope=EVERYTHING&amp;vid=01CRU&amp;lang=en_US&amp;offset=0&amp;query=any,contains,991000740539702656","Catalog Record")</f>
        <v/>
      </c>
      <c r="AT456">
        <f>HYPERLINK("http://www.worldcat.org/oclc/129261","WorldCat Record")</f>
        <v/>
      </c>
      <c r="AU456" t="inlineStr">
        <is>
          <t>1260601:eng</t>
        </is>
      </c>
      <c r="AV456" t="inlineStr">
        <is>
          <t>129261</t>
        </is>
      </c>
      <c r="AW456" t="inlineStr">
        <is>
          <t>991000740539702656</t>
        </is>
      </c>
      <c r="AX456" t="inlineStr">
        <is>
          <t>991000740539702656</t>
        </is>
      </c>
      <c r="AY456" t="inlineStr">
        <is>
          <t>2266629550002656</t>
        </is>
      </c>
      <c r="AZ456" t="inlineStr">
        <is>
          <t>BOOK</t>
        </is>
      </c>
      <c r="BB456" t="inlineStr">
        <is>
          <t>9780853422303</t>
        </is>
      </c>
      <c r="BC456" t="inlineStr">
        <is>
          <t>32285000965359</t>
        </is>
      </c>
      <c r="BD456" t="inlineStr">
        <is>
          <t>893496514</t>
        </is>
      </c>
    </row>
    <row r="457">
      <c r="A457" t="inlineStr">
        <is>
          <t>No</t>
        </is>
      </c>
      <c r="B457" t="inlineStr">
        <is>
          <t>BV4211.2 .F55 1986</t>
        </is>
      </c>
      <c r="C457" t="inlineStr">
        <is>
          <t>0                      BV 4211200F  55          1986</t>
        </is>
      </c>
      <c r="D457" t="inlineStr">
        <is>
          <t>Wake up and preach! / James F. Finley.</t>
        </is>
      </c>
      <c r="F457" t="inlineStr">
        <is>
          <t>No</t>
        </is>
      </c>
      <c r="G457" t="inlineStr">
        <is>
          <t>1</t>
        </is>
      </c>
      <c r="H457" t="inlineStr">
        <is>
          <t>No</t>
        </is>
      </c>
      <c r="I457" t="inlineStr">
        <is>
          <t>No</t>
        </is>
      </c>
      <c r="J457" t="inlineStr">
        <is>
          <t>0</t>
        </is>
      </c>
      <c r="K457" t="inlineStr">
        <is>
          <t>Finley, James.</t>
        </is>
      </c>
      <c r="L457" t="inlineStr">
        <is>
          <t>New York : Alba House, c1986.</t>
        </is>
      </c>
      <c r="M457" t="inlineStr">
        <is>
          <t>1986</t>
        </is>
      </c>
      <c r="O457" t="inlineStr">
        <is>
          <t>eng</t>
        </is>
      </c>
      <c r="P457" t="inlineStr">
        <is>
          <t>nyu</t>
        </is>
      </c>
      <c r="R457" t="inlineStr">
        <is>
          <t xml:space="preserve">BV </t>
        </is>
      </c>
      <c r="S457" t="n">
        <v>1</v>
      </c>
      <c r="T457" t="n">
        <v>1</v>
      </c>
      <c r="U457" t="inlineStr">
        <is>
          <t>2002-06-22</t>
        </is>
      </c>
      <c r="V457" t="inlineStr">
        <is>
          <t>2002-06-22</t>
        </is>
      </c>
      <c r="W457" t="inlineStr">
        <is>
          <t>1992-02-21</t>
        </is>
      </c>
      <c r="X457" t="inlineStr">
        <is>
          <t>1992-02-21</t>
        </is>
      </c>
      <c r="Y457" t="n">
        <v>63</v>
      </c>
      <c r="Z457" t="n">
        <v>55</v>
      </c>
      <c r="AA457" t="n">
        <v>55</v>
      </c>
      <c r="AB457" t="n">
        <v>1</v>
      </c>
      <c r="AC457" t="n">
        <v>1</v>
      </c>
      <c r="AD457" t="n">
        <v>5</v>
      </c>
      <c r="AE457" t="n">
        <v>5</v>
      </c>
      <c r="AF457" t="n">
        <v>0</v>
      </c>
      <c r="AG457" t="n">
        <v>0</v>
      </c>
      <c r="AH457" t="n">
        <v>2</v>
      </c>
      <c r="AI457" t="n">
        <v>2</v>
      </c>
      <c r="AJ457" t="n">
        <v>3</v>
      </c>
      <c r="AK457" t="n">
        <v>3</v>
      </c>
      <c r="AL457" t="n">
        <v>0</v>
      </c>
      <c r="AM457" t="n">
        <v>0</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HYPERLINK("https://creighton-primo.hosted.exlibrisgroup.com/primo-explore/search?tab=default_tab&amp;search_scope=EVERYTHING&amp;vid=01CRU&amp;lang=en_US&amp;offset=0&amp;query=any,contains,991000733189702656","Catalog Record")</f>
        <v/>
      </c>
      <c r="AT457">
        <f>HYPERLINK("http://www.worldcat.org/oclc/12750671","WorldCat Record")</f>
        <v/>
      </c>
      <c r="AU457" t="inlineStr">
        <is>
          <t>5337177:eng</t>
        </is>
      </c>
      <c r="AV457" t="inlineStr">
        <is>
          <t>12750671</t>
        </is>
      </c>
      <c r="AW457" t="inlineStr">
        <is>
          <t>991000733189702656</t>
        </is>
      </c>
      <c r="AX457" t="inlineStr">
        <is>
          <t>991000733189702656</t>
        </is>
      </c>
      <c r="AY457" t="inlineStr">
        <is>
          <t>2270711010002656</t>
        </is>
      </c>
      <c r="AZ457" t="inlineStr">
        <is>
          <t>BOOK</t>
        </is>
      </c>
      <c r="BB457" t="inlineStr">
        <is>
          <t>9780818904929</t>
        </is>
      </c>
      <c r="BC457" t="inlineStr">
        <is>
          <t>32285000965409</t>
        </is>
      </c>
      <c r="BD457" t="inlineStr">
        <is>
          <t>893696110</t>
        </is>
      </c>
    </row>
    <row r="458">
      <c r="A458" t="inlineStr">
        <is>
          <t>No</t>
        </is>
      </c>
      <c r="B458" t="inlineStr">
        <is>
          <t>BV4211.2 .F84</t>
        </is>
      </c>
      <c r="C458" t="inlineStr">
        <is>
          <t>0                      BV 4211200F  84</t>
        </is>
      </c>
      <c r="D458" t="inlineStr">
        <is>
          <t>Fulfilled in your hearing : the homily in the Sunday assembly / the Bishops' Committee on Priestly Life and Ministry, National Conference of Catholic Bishops.</t>
        </is>
      </c>
      <c r="F458" t="inlineStr">
        <is>
          <t>No</t>
        </is>
      </c>
      <c r="G458" t="inlineStr">
        <is>
          <t>1</t>
        </is>
      </c>
      <c r="H458" t="inlineStr">
        <is>
          <t>No</t>
        </is>
      </c>
      <c r="I458" t="inlineStr">
        <is>
          <t>No</t>
        </is>
      </c>
      <c r="J458" t="inlineStr">
        <is>
          <t>0</t>
        </is>
      </c>
      <c r="L458" t="inlineStr">
        <is>
          <t>Washington, D.C. : Office of Publishing Services, United States Catholic Conference, [1982]</t>
        </is>
      </c>
      <c r="M458" t="inlineStr">
        <is>
          <t>1982</t>
        </is>
      </c>
      <c r="O458" t="inlineStr">
        <is>
          <t>eng</t>
        </is>
      </c>
      <c r="P458" t="inlineStr">
        <is>
          <t>dcu</t>
        </is>
      </c>
      <c r="Q458" t="inlineStr">
        <is>
          <t>Publication ; no. 850</t>
        </is>
      </c>
      <c r="R458" t="inlineStr">
        <is>
          <t xml:space="preserve">BV </t>
        </is>
      </c>
      <c r="S458" t="n">
        <v>2</v>
      </c>
      <c r="T458" t="n">
        <v>2</v>
      </c>
      <c r="U458" t="inlineStr">
        <is>
          <t>1999-06-19</t>
        </is>
      </c>
      <c r="V458" t="inlineStr">
        <is>
          <t>1999-06-19</t>
        </is>
      </c>
      <c r="W458" t="inlineStr">
        <is>
          <t>1992-02-21</t>
        </is>
      </c>
      <c r="X458" t="inlineStr">
        <is>
          <t>1992-02-21</t>
        </is>
      </c>
      <c r="Y458" t="n">
        <v>149</v>
      </c>
      <c r="Z458" t="n">
        <v>132</v>
      </c>
      <c r="AA458" t="n">
        <v>133</v>
      </c>
      <c r="AB458" t="n">
        <v>1</v>
      </c>
      <c r="AC458" t="n">
        <v>1</v>
      </c>
      <c r="AD458" t="n">
        <v>15</v>
      </c>
      <c r="AE458" t="n">
        <v>15</v>
      </c>
      <c r="AF458" t="n">
        <v>3</v>
      </c>
      <c r="AG458" t="n">
        <v>3</v>
      </c>
      <c r="AH458" t="n">
        <v>4</v>
      </c>
      <c r="AI458" t="n">
        <v>4</v>
      </c>
      <c r="AJ458" t="n">
        <v>12</v>
      </c>
      <c r="AK458" t="n">
        <v>12</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HYPERLINK("https://creighton-primo.hosted.exlibrisgroup.com/primo-explore/search?tab=default_tab&amp;search_scope=EVERYTHING&amp;vid=01CRU&amp;lang=en_US&amp;offset=0&amp;query=any,contains,991000091569702656","Catalog Record")</f>
        <v/>
      </c>
      <c r="AT458">
        <f>HYPERLINK("http://www.worldcat.org/oclc/8904548","WorldCat Record")</f>
        <v/>
      </c>
      <c r="AU458" t="inlineStr">
        <is>
          <t>865303223:eng</t>
        </is>
      </c>
      <c r="AV458" t="inlineStr">
        <is>
          <t>8904548</t>
        </is>
      </c>
      <c r="AW458" t="inlineStr">
        <is>
          <t>991000091569702656</t>
        </is>
      </c>
      <c r="AX458" t="inlineStr">
        <is>
          <t>991000091569702656</t>
        </is>
      </c>
      <c r="AY458" t="inlineStr">
        <is>
          <t>2266424500002656</t>
        </is>
      </c>
      <c r="AZ458" t="inlineStr">
        <is>
          <t>BOOK</t>
        </is>
      </c>
      <c r="BC458" t="inlineStr">
        <is>
          <t>32285000965425</t>
        </is>
      </c>
      <c r="BD458" t="inlineStr">
        <is>
          <t>893437997</t>
        </is>
      </c>
    </row>
    <row r="459">
      <c r="A459" t="inlineStr">
        <is>
          <t>No</t>
        </is>
      </c>
      <c r="B459" t="inlineStr">
        <is>
          <t>BV4211.2 .G7 1965</t>
        </is>
      </c>
      <c r="C459" t="inlineStr">
        <is>
          <t>0                      BV 4211200G  7           1965</t>
        </is>
      </c>
      <c r="D459" t="inlineStr">
        <is>
          <t>Proclaiming God's message : a study in the theology of preaching.</t>
        </is>
      </c>
      <c r="F459" t="inlineStr">
        <is>
          <t>No</t>
        </is>
      </c>
      <c r="G459" t="inlineStr">
        <is>
          <t>1</t>
        </is>
      </c>
      <c r="H459" t="inlineStr">
        <is>
          <t>No</t>
        </is>
      </c>
      <c r="I459" t="inlineStr">
        <is>
          <t>No</t>
        </is>
      </c>
      <c r="J459" t="inlineStr">
        <is>
          <t>0</t>
        </is>
      </c>
      <c r="K459" t="inlineStr">
        <is>
          <t>Grasso, Domenico, 1917-</t>
        </is>
      </c>
      <c r="L459" t="inlineStr">
        <is>
          <t>Notre Dame, Ind. : University of Notre Dame Press, [c.1965]</t>
        </is>
      </c>
      <c r="M459" t="inlineStr">
        <is>
          <t>1965</t>
        </is>
      </c>
      <c r="O459" t="inlineStr">
        <is>
          <t>eng</t>
        </is>
      </c>
      <c r="P459" t="inlineStr">
        <is>
          <t xml:space="preserve">xx </t>
        </is>
      </c>
      <c r="Q459" t="inlineStr">
        <is>
          <t>Liturgical Studies (Univ. of Notre Dame), VIII</t>
        </is>
      </c>
      <c r="R459" t="inlineStr">
        <is>
          <t xml:space="preserve">BV </t>
        </is>
      </c>
      <c r="S459" t="n">
        <v>1</v>
      </c>
      <c r="T459" t="n">
        <v>1</v>
      </c>
      <c r="U459" t="inlineStr">
        <is>
          <t>2004-06-29</t>
        </is>
      </c>
      <c r="V459" t="inlineStr">
        <is>
          <t>2004-06-29</t>
        </is>
      </c>
      <c r="W459" t="inlineStr">
        <is>
          <t>1992-02-21</t>
        </is>
      </c>
      <c r="X459" t="inlineStr">
        <is>
          <t>1992-02-21</t>
        </is>
      </c>
      <c r="Y459" t="n">
        <v>327</v>
      </c>
      <c r="Z459" t="n">
        <v>283</v>
      </c>
      <c r="AA459" t="n">
        <v>295</v>
      </c>
      <c r="AB459" t="n">
        <v>4</v>
      </c>
      <c r="AC459" t="n">
        <v>4</v>
      </c>
      <c r="AD459" t="n">
        <v>27</v>
      </c>
      <c r="AE459" t="n">
        <v>29</v>
      </c>
      <c r="AF459" t="n">
        <v>8</v>
      </c>
      <c r="AG459" t="n">
        <v>8</v>
      </c>
      <c r="AH459" t="n">
        <v>6</v>
      </c>
      <c r="AI459" t="n">
        <v>6</v>
      </c>
      <c r="AJ459" t="n">
        <v>21</v>
      </c>
      <c r="AK459" t="n">
        <v>23</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HYPERLINK("https://creighton-primo.hosted.exlibrisgroup.com/primo-explore/search?tab=default_tab&amp;search_scope=EVERYTHING&amp;vid=01CRU&amp;lang=en_US&amp;offset=0&amp;query=any,contains,991003195739702656","Catalog Record")</f>
        <v/>
      </c>
      <c r="AT459">
        <f>HYPERLINK("http://www.worldcat.org/oclc/721153","WorldCat Record")</f>
        <v/>
      </c>
      <c r="AU459" t="inlineStr">
        <is>
          <t>1703352:eng</t>
        </is>
      </c>
      <c r="AV459" t="inlineStr">
        <is>
          <t>721153</t>
        </is>
      </c>
      <c r="AW459" t="inlineStr">
        <is>
          <t>991003195739702656</t>
        </is>
      </c>
      <c r="AX459" t="inlineStr">
        <is>
          <t>991003195739702656</t>
        </is>
      </c>
      <c r="AY459" t="inlineStr">
        <is>
          <t>2258999080002656</t>
        </is>
      </c>
      <c r="AZ459" t="inlineStr">
        <is>
          <t>BOOK</t>
        </is>
      </c>
      <c r="BC459" t="inlineStr">
        <is>
          <t>32285000965441</t>
        </is>
      </c>
      <c r="BD459" t="inlineStr">
        <is>
          <t>893246110</t>
        </is>
      </c>
    </row>
    <row r="460">
      <c r="A460" t="inlineStr">
        <is>
          <t>No</t>
        </is>
      </c>
      <c r="B460" t="inlineStr">
        <is>
          <t>BV4211.2 .M494 1992</t>
        </is>
      </c>
      <c r="C460" t="inlineStr">
        <is>
          <t>0                      BV 4211200M  494         1992</t>
        </is>
      </c>
      <c r="D460" t="inlineStr">
        <is>
          <t>Ordained to preach : a theology and practice of preaching / Charles E. Miller.</t>
        </is>
      </c>
      <c r="F460" t="inlineStr">
        <is>
          <t>No</t>
        </is>
      </c>
      <c r="G460" t="inlineStr">
        <is>
          <t>1</t>
        </is>
      </c>
      <c r="H460" t="inlineStr">
        <is>
          <t>No</t>
        </is>
      </c>
      <c r="I460" t="inlineStr">
        <is>
          <t>No</t>
        </is>
      </c>
      <c r="J460" t="inlineStr">
        <is>
          <t>0</t>
        </is>
      </c>
      <c r="K460" t="inlineStr">
        <is>
          <t>Miller, Charles Edward, 1929-2005.</t>
        </is>
      </c>
      <c r="L460" t="inlineStr">
        <is>
          <t>New York : Alba House, c1992.</t>
        </is>
      </c>
      <c r="M460" t="inlineStr">
        <is>
          <t>1992</t>
        </is>
      </c>
      <c r="O460" t="inlineStr">
        <is>
          <t>eng</t>
        </is>
      </c>
      <c r="P460" t="inlineStr">
        <is>
          <t>nyu</t>
        </is>
      </c>
      <c r="R460" t="inlineStr">
        <is>
          <t xml:space="preserve">BV </t>
        </is>
      </c>
      <c r="S460" t="n">
        <v>1</v>
      </c>
      <c r="T460" t="n">
        <v>1</v>
      </c>
      <c r="U460" t="inlineStr">
        <is>
          <t>2005-04-13</t>
        </is>
      </c>
      <c r="V460" t="inlineStr">
        <is>
          <t>2005-04-13</t>
        </is>
      </c>
      <c r="W460" t="inlineStr">
        <is>
          <t>2005-04-13</t>
        </is>
      </c>
      <c r="X460" t="inlineStr">
        <is>
          <t>2005-04-13</t>
        </is>
      </c>
      <c r="Y460" t="n">
        <v>93</v>
      </c>
      <c r="Z460" t="n">
        <v>77</v>
      </c>
      <c r="AA460" t="n">
        <v>84</v>
      </c>
      <c r="AB460" t="n">
        <v>2</v>
      </c>
      <c r="AC460" t="n">
        <v>2</v>
      </c>
      <c r="AD460" t="n">
        <v>6</v>
      </c>
      <c r="AE460" t="n">
        <v>7</v>
      </c>
      <c r="AF460" t="n">
        <v>1</v>
      </c>
      <c r="AG460" t="n">
        <v>2</v>
      </c>
      <c r="AH460" t="n">
        <v>3</v>
      </c>
      <c r="AI460" t="n">
        <v>3</v>
      </c>
      <c r="AJ460" t="n">
        <v>2</v>
      </c>
      <c r="AK460" t="n">
        <v>2</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HYPERLINK("https://creighton-primo.hosted.exlibrisgroup.com/primo-explore/search?tab=default_tab&amp;search_scope=EVERYTHING&amp;vid=01CRU&amp;lang=en_US&amp;offset=0&amp;query=any,contains,991004529009702656","Catalog Record")</f>
        <v/>
      </c>
      <c r="AT460">
        <f>HYPERLINK("http://www.worldcat.org/oclc/25832249","WorldCat Record")</f>
        <v/>
      </c>
      <c r="AU460" t="inlineStr">
        <is>
          <t>17725675:eng</t>
        </is>
      </c>
      <c r="AV460" t="inlineStr">
        <is>
          <t>25832249</t>
        </is>
      </c>
      <c r="AW460" t="inlineStr">
        <is>
          <t>991004529009702656</t>
        </is>
      </c>
      <c r="AX460" t="inlineStr">
        <is>
          <t>991004529009702656</t>
        </is>
      </c>
      <c r="AY460" t="inlineStr">
        <is>
          <t>2264123700002656</t>
        </is>
      </c>
      <c r="AZ460" t="inlineStr">
        <is>
          <t>BOOK</t>
        </is>
      </c>
      <c r="BB460" t="inlineStr">
        <is>
          <t>9780818906374</t>
        </is>
      </c>
      <c r="BC460" t="inlineStr">
        <is>
          <t>32285005030266</t>
        </is>
      </c>
      <c r="BD460" t="inlineStr">
        <is>
          <t>893331706</t>
        </is>
      </c>
    </row>
    <row r="461">
      <c r="A461" t="inlineStr">
        <is>
          <t>No</t>
        </is>
      </c>
      <c r="B461" t="inlineStr">
        <is>
          <t>BV4214 .T473</t>
        </is>
      </c>
      <c r="C461" t="inlineStr">
        <is>
          <t>0                      BV 4214000T  473</t>
        </is>
      </c>
      <c r="D461" t="inlineStr">
        <is>
          <t>The trouble with the church : a call for renewal / Helmut Thielicke. Translated and edited by John W. Doberstein.</t>
        </is>
      </c>
      <c r="F461" t="inlineStr">
        <is>
          <t>No</t>
        </is>
      </c>
      <c r="G461" t="inlineStr">
        <is>
          <t>1</t>
        </is>
      </c>
      <c r="H461" t="inlineStr">
        <is>
          <t>No</t>
        </is>
      </c>
      <c r="I461" t="inlineStr">
        <is>
          <t>No</t>
        </is>
      </c>
      <c r="J461" t="inlineStr">
        <is>
          <t>0</t>
        </is>
      </c>
      <c r="K461" t="inlineStr">
        <is>
          <t>Thielicke, Helmut, 1908-1986.</t>
        </is>
      </c>
      <c r="L461" t="inlineStr">
        <is>
          <t>New York, Harper &amp; Row [1965]</t>
        </is>
      </c>
      <c r="M461" t="inlineStr">
        <is>
          <t>1965</t>
        </is>
      </c>
      <c r="N461" t="inlineStr">
        <is>
          <t>[1st ed.]</t>
        </is>
      </c>
      <c r="O461" t="inlineStr">
        <is>
          <t>eng</t>
        </is>
      </c>
      <c r="P461" t="inlineStr">
        <is>
          <t>nyu</t>
        </is>
      </c>
      <c r="R461" t="inlineStr">
        <is>
          <t xml:space="preserve">BV </t>
        </is>
      </c>
      <c r="S461" t="n">
        <v>1</v>
      </c>
      <c r="T461" t="n">
        <v>1</v>
      </c>
      <c r="U461" t="inlineStr">
        <is>
          <t>2001-07-02</t>
        </is>
      </c>
      <c r="V461" t="inlineStr">
        <is>
          <t>2001-07-02</t>
        </is>
      </c>
      <c r="W461" t="inlineStr">
        <is>
          <t>1992-02-21</t>
        </is>
      </c>
      <c r="X461" t="inlineStr">
        <is>
          <t>1992-02-21</t>
        </is>
      </c>
      <c r="Y461" t="n">
        <v>433</v>
      </c>
      <c r="Z461" t="n">
        <v>390</v>
      </c>
      <c r="AA461" t="n">
        <v>435</v>
      </c>
      <c r="AB461" t="n">
        <v>8</v>
      </c>
      <c r="AC461" t="n">
        <v>8</v>
      </c>
      <c r="AD461" t="n">
        <v>22</v>
      </c>
      <c r="AE461" t="n">
        <v>24</v>
      </c>
      <c r="AF461" t="n">
        <v>7</v>
      </c>
      <c r="AG461" t="n">
        <v>8</v>
      </c>
      <c r="AH461" t="n">
        <v>5</v>
      </c>
      <c r="AI461" t="n">
        <v>5</v>
      </c>
      <c r="AJ461" t="n">
        <v>10</v>
      </c>
      <c r="AK461" t="n">
        <v>11</v>
      </c>
      <c r="AL461" t="n">
        <v>5</v>
      </c>
      <c r="AM461" t="n">
        <v>5</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HYPERLINK("https://creighton-primo.hosted.exlibrisgroup.com/primo-explore/search?tab=default_tab&amp;search_scope=EVERYTHING&amp;vid=01CRU&amp;lang=en_US&amp;offset=0&amp;query=any,contains,991003740799702656","Catalog Record")</f>
        <v/>
      </c>
      <c r="AT461">
        <f>HYPERLINK("http://www.worldcat.org/oclc/1404282","WorldCat Record")</f>
        <v/>
      </c>
      <c r="AU461" t="inlineStr">
        <is>
          <t>459712381:eng</t>
        </is>
      </c>
      <c r="AV461" t="inlineStr">
        <is>
          <t>1404282</t>
        </is>
      </c>
      <c r="AW461" t="inlineStr">
        <is>
          <t>991003740799702656</t>
        </is>
      </c>
      <c r="AX461" t="inlineStr">
        <is>
          <t>991003740799702656</t>
        </is>
      </c>
      <c r="AY461" t="inlineStr">
        <is>
          <t>2260019530002656</t>
        </is>
      </c>
      <c r="AZ461" t="inlineStr">
        <is>
          <t>BOOK</t>
        </is>
      </c>
      <c r="BC461" t="inlineStr">
        <is>
          <t>32285000965540</t>
        </is>
      </c>
      <c r="BD461" t="inlineStr">
        <is>
          <t>893775095</t>
        </is>
      </c>
    </row>
    <row r="462">
      <c r="A462" t="inlineStr">
        <is>
          <t>No</t>
        </is>
      </c>
      <c r="B462" t="inlineStr">
        <is>
          <t>BV4224 .W44 1973</t>
        </is>
      </c>
      <c r="C462" t="inlineStr">
        <is>
          <t>0                      BV 4224000W  44          1973</t>
        </is>
      </c>
      <c r="D462" t="inlineStr">
        <is>
          <t>L'exemplum dans la littérature religieuse et didactique du Moyen âge / par J.-Th. Welter. Paris, Occitania, 1927.</t>
        </is>
      </c>
      <c r="F462" t="inlineStr">
        <is>
          <t>No</t>
        </is>
      </c>
      <c r="G462" t="inlineStr">
        <is>
          <t>1</t>
        </is>
      </c>
      <c r="H462" t="inlineStr">
        <is>
          <t>No</t>
        </is>
      </c>
      <c r="I462" t="inlineStr">
        <is>
          <t>No</t>
        </is>
      </c>
      <c r="J462" t="inlineStr">
        <is>
          <t>0</t>
        </is>
      </c>
      <c r="K462" t="inlineStr">
        <is>
          <t>Welter, Jean Thiébaut, 1877-</t>
        </is>
      </c>
      <c r="L462" t="inlineStr">
        <is>
          <t>[New York, AMS Press, 1973]</t>
        </is>
      </c>
      <c r="M462" t="inlineStr">
        <is>
          <t>1973</t>
        </is>
      </c>
      <c r="O462" t="inlineStr">
        <is>
          <t>fre</t>
        </is>
      </c>
      <c r="P462" t="inlineStr">
        <is>
          <t>nyu</t>
        </is>
      </c>
      <c r="R462" t="inlineStr">
        <is>
          <t xml:space="preserve">BV </t>
        </is>
      </c>
      <c r="S462" t="n">
        <v>1</v>
      </c>
      <c r="T462" t="n">
        <v>1</v>
      </c>
      <c r="U462" t="inlineStr">
        <is>
          <t>2010-10-27</t>
        </is>
      </c>
      <c r="V462" t="inlineStr">
        <is>
          <t>2010-10-27</t>
        </is>
      </c>
      <c r="W462" t="inlineStr">
        <is>
          <t>1992-02-21</t>
        </is>
      </c>
      <c r="X462" t="inlineStr">
        <is>
          <t>1992-02-21</t>
        </is>
      </c>
      <c r="Y462" t="n">
        <v>83</v>
      </c>
      <c r="Z462" t="n">
        <v>55</v>
      </c>
      <c r="AA462" t="n">
        <v>117</v>
      </c>
      <c r="AB462" t="n">
        <v>1</v>
      </c>
      <c r="AC462" t="n">
        <v>2</v>
      </c>
      <c r="AD462" t="n">
        <v>6</v>
      </c>
      <c r="AE462" t="n">
        <v>11</v>
      </c>
      <c r="AF462" t="n">
        <v>2</v>
      </c>
      <c r="AG462" t="n">
        <v>2</v>
      </c>
      <c r="AH462" t="n">
        <v>3</v>
      </c>
      <c r="AI462" t="n">
        <v>4</v>
      </c>
      <c r="AJ462" t="n">
        <v>4</v>
      </c>
      <c r="AK462" t="n">
        <v>8</v>
      </c>
      <c r="AL462" t="n">
        <v>0</v>
      </c>
      <c r="AM462" t="n">
        <v>1</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HYPERLINK("https://creighton-primo.hosted.exlibrisgroup.com/primo-explore/search?tab=default_tab&amp;search_scope=EVERYTHING&amp;vid=01CRU&amp;lang=en_US&amp;offset=0&amp;query=any,contains,991003164369702656","Catalog Record")</f>
        <v/>
      </c>
      <c r="AT462">
        <f>HYPERLINK("http://www.worldcat.org/oclc/702750","WorldCat Record")</f>
        <v/>
      </c>
      <c r="AU462" t="inlineStr">
        <is>
          <t>351012638:fre</t>
        </is>
      </c>
      <c r="AV462" t="inlineStr">
        <is>
          <t>702750</t>
        </is>
      </c>
      <c r="AW462" t="inlineStr">
        <is>
          <t>991003164369702656</t>
        </is>
      </c>
      <c r="AX462" t="inlineStr">
        <is>
          <t>991003164369702656</t>
        </is>
      </c>
      <c r="AY462" t="inlineStr">
        <is>
          <t>2258162880002656</t>
        </is>
      </c>
      <c r="AZ462" t="inlineStr">
        <is>
          <t>BOOK</t>
        </is>
      </c>
      <c r="BB462" t="inlineStr">
        <is>
          <t>9780404566883</t>
        </is>
      </c>
      <c r="BC462" t="inlineStr">
        <is>
          <t>32285000965573</t>
        </is>
      </c>
      <c r="BD462" t="inlineStr">
        <is>
          <t>893868153</t>
        </is>
      </c>
    </row>
    <row r="463">
      <c r="A463" t="inlineStr">
        <is>
          <t>No</t>
        </is>
      </c>
      <c r="B463" t="inlineStr">
        <is>
          <t>BV4235.F44 S63 1989</t>
        </is>
      </c>
      <c r="C463" t="inlineStr">
        <is>
          <t>0                      BV 4235000F  44                 S  63          1989</t>
        </is>
      </c>
      <c r="D463" t="inlineStr">
        <is>
          <t>Weaving the sermon : preaching in a feminist perspective / Christine M. Smith.</t>
        </is>
      </c>
      <c r="F463" t="inlineStr">
        <is>
          <t>No</t>
        </is>
      </c>
      <c r="G463" t="inlineStr">
        <is>
          <t>1</t>
        </is>
      </c>
      <c r="H463" t="inlineStr">
        <is>
          <t>No</t>
        </is>
      </c>
      <c r="I463" t="inlineStr">
        <is>
          <t>No</t>
        </is>
      </c>
      <c r="J463" t="inlineStr">
        <is>
          <t>0</t>
        </is>
      </c>
      <c r="K463" t="inlineStr">
        <is>
          <t>Smith, Christine M.</t>
        </is>
      </c>
      <c r="L463" t="inlineStr">
        <is>
          <t>Louisville, Ky. : Westminster/J. Knox Press, c1989.</t>
        </is>
      </c>
      <c r="M463" t="inlineStr">
        <is>
          <t>1989</t>
        </is>
      </c>
      <c r="N463" t="inlineStr">
        <is>
          <t>1st ed.</t>
        </is>
      </c>
      <c r="O463" t="inlineStr">
        <is>
          <t>eng</t>
        </is>
      </c>
      <c r="P463" t="inlineStr">
        <is>
          <t>kyu</t>
        </is>
      </c>
      <c r="R463" t="inlineStr">
        <is>
          <t xml:space="preserve">BV </t>
        </is>
      </c>
      <c r="S463" t="n">
        <v>4</v>
      </c>
      <c r="T463" t="n">
        <v>4</v>
      </c>
      <c r="U463" t="inlineStr">
        <is>
          <t>1998-12-02</t>
        </is>
      </c>
      <c r="V463" t="inlineStr">
        <is>
          <t>1998-12-02</t>
        </is>
      </c>
      <c r="W463" t="inlineStr">
        <is>
          <t>1990-01-23</t>
        </is>
      </c>
      <c r="X463" t="inlineStr">
        <is>
          <t>1990-01-23</t>
        </is>
      </c>
      <c r="Y463" t="n">
        <v>301</v>
      </c>
      <c r="Z463" t="n">
        <v>240</v>
      </c>
      <c r="AA463" t="n">
        <v>554</v>
      </c>
      <c r="AB463" t="n">
        <v>3</v>
      </c>
      <c r="AC463" t="n">
        <v>3</v>
      </c>
      <c r="AD463" t="n">
        <v>14</v>
      </c>
      <c r="AE463" t="n">
        <v>16</v>
      </c>
      <c r="AF463" t="n">
        <v>6</v>
      </c>
      <c r="AG463" t="n">
        <v>8</v>
      </c>
      <c r="AH463" t="n">
        <v>2</v>
      </c>
      <c r="AI463" t="n">
        <v>2</v>
      </c>
      <c r="AJ463" t="n">
        <v>7</v>
      </c>
      <c r="AK463" t="n">
        <v>7</v>
      </c>
      <c r="AL463" t="n">
        <v>2</v>
      </c>
      <c r="AM463" t="n">
        <v>2</v>
      </c>
      <c r="AN463" t="n">
        <v>0</v>
      </c>
      <c r="AO463" t="n">
        <v>0</v>
      </c>
      <c r="AP463" t="inlineStr">
        <is>
          <t>No</t>
        </is>
      </c>
      <c r="AQ463" t="inlineStr">
        <is>
          <t>Yes</t>
        </is>
      </c>
      <c r="AR463">
        <f>HYPERLINK("http://catalog.hathitrust.org/Record/009491869","HathiTrust Record")</f>
        <v/>
      </c>
      <c r="AS463">
        <f>HYPERLINK("https://creighton-primo.hosted.exlibrisgroup.com/primo-explore/search?tab=default_tab&amp;search_scope=EVERYTHING&amp;vid=01CRU&amp;lang=en_US&amp;offset=0&amp;query=any,contains,991001373109702656","Catalog Record")</f>
        <v/>
      </c>
      <c r="AT463">
        <f>HYPERLINK("http://www.worldcat.org/oclc/18589061","WorldCat Record")</f>
        <v/>
      </c>
      <c r="AU463" t="inlineStr">
        <is>
          <t>796359017:eng</t>
        </is>
      </c>
      <c r="AV463" t="inlineStr">
        <is>
          <t>18589061</t>
        </is>
      </c>
      <c r="AW463" t="inlineStr">
        <is>
          <t>991001373109702656</t>
        </is>
      </c>
      <c r="AX463" t="inlineStr">
        <is>
          <t>991001373109702656</t>
        </is>
      </c>
      <c r="AY463" t="inlineStr">
        <is>
          <t>2264380240002656</t>
        </is>
      </c>
      <c r="AZ463" t="inlineStr">
        <is>
          <t>BOOK</t>
        </is>
      </c>
      <c r="BB463" t="inlineStr">
        <is>
          <t>9780664250317</t>
        </is>
      </c>
      <c r="BC463" t="inlineStr">
        <is>
          <t>32285000029529</t>
        </is>
      </c>
      <c r="BD463" t="inlineStr">
        <is>
          <t>893334292</t>
        </is>
      </c>
    </row>
    <row r="464">
      <c r="A464" t="inlineStr">
        <is>
          <t>No</t>
        </is>
      </c>
      <c r="B464" t="inlineStr">
        <is>
          <t>BV4235.L3 P73 1983</t>
        </is>
      </c>
      <c r="C464" t="inlineStr">
        <is>
          <t>0                      BV 4235000L  3                  P  73          1983</t>
        </is>
      </c>
      <c r="D464" t="inlineStr">
        <is>
          <t>Preaching and the non-ordained : an interdisciplinary study / edited by Nadine Foley.</t>
        </is>
      </c>
      <c r="F464" t="inlineStr">
        <is>
          <t>No</t>
        </is>
      </c>
      <c r="G464" t="inlineStr">
        <is>
          <t>1</t>
        </is>
      </c>
      <c r="H464" t="inlineStr">
        <is>
          <t>No</t>
        </is>
      </c>
      <c r="I464" t="inlineStr">
        <is>
          <t>No</t>
        </is>
      </c>
      <c r="J464" t="inlineStr">
        <is>
          <t>0</t>
        </is>
      </c>
      <c r="L464" t="inlineStr">
        <is>
          <t>Collegeville, Minn. : Liturgical Press, c1983.</t>
        </is>
      </c>
      <c r="M464" t="inlineStr">
        <is>
          <t>1983</t>
        </is>
      </c>
      <c r="O464" t="inlineStr">
        <is>
          <t>eng</t>
        </is>
      </c>
      <c r="P464" t="inlineStr">
        <is>
          <t>mnu</t>
        </is>
      </c>
      <c r="R464" t="inlineStr">
        <is>
          <t xml:space="preserve">BV </t>
        </is>
      </c>
      <c r="S464" t="n">
        <v>2</v>
      </c>
      <c r="T464" t="n">
        <v>2</v>
      </c>
      <c r="U464" t="inlineStr">
        <is>
          <t>1994-09-01</t>
        </is>
      </c>
      <c r="V464" t="inlineStr">
        <is>
          <t>1994-09-01</t>
        </is>
      </c>
      <c r="W464" t="inlineStr">
        <is>
          <t>1990-08-01</t>
        </is>
      </c>
      <c r="X464" t="inlineStr">
        <is>
          <t>1990-08-01</t>
        </is>
      </c>
      <c r="Y464" t="n">
        <v>171</v>
      </c>
      <c r="Z464" t="n">
        <v>141</v>
      </c>
      <c r="AA464" t="n">
        <v>146</v>
      </c>
      <c r="AB464" t="n">
        <v>1</v>
      </c>
      <c r="AC464" t="n">
        <v>1</v>
      </c>
      <c r="AD464" t="n">
        <v>15</v>
      </c>
      <c r="AE464" t="n">
        <v>15</v>
      </c>
      <c r="AF464" t="n">
        <v>5</v>
      </c>
      <c r="AG464" t="n">
        <v>5</v>
      </c>
      <c r="AH464" t="n">
        <v>3</v>
      </c>
      <c r="AI464" t="n">
        <v>3</v>
      </c>
      <c r="AJ464" t="n">
        <v>11</v>
      </c>
      <c r="AK464" t="n">
        <v>11</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HYPERLINK("https://creighton-primo.hosted.exlibrisgroup.com/primo-explore/search?tab=default_tab&amp;search_scope=EVERYTHING&amp;vid=01CRU&amp;lang=en_US&amp;offset=0&amp;query=any,contains,991000189679702656","Catalog Record")</f>
        <v/>
      </c>
      <c r="AT464">
        <f>HYPERLINK("http://www.worldcat.org/oclc/9411904","WorldCat Record")</f>
        <v/>
      </c>
      <c r="AU464" t="inlineStr">
        <is>
          <t>366907473:eng</t>
        </is>
      </c>
      <c r="AV464" t="inlineStr">
        <is>
          <t>9411904</t>
        </is>
      </c>
      <c r="AW464" t="inlineStr">
        <is>
          <t>991000189679702656</t>
        </is>
      </c>
      <c r="AX464" t="inlineStr">
        <is>
          <t>991000189679702656</t>
        </is>
      </c>
      <c r="AY464" t="inlineStr">
        <is>
          <t>2261152210002656</t>
        </is>
      </c>
      <c r="AZ464" t="inlineStr">
        <is>
          <t>BOOK</t>
        </is>
      </c>
      <c r="BB464" t="inlineStr">
        <is>
          <t>9780814612910</t>
        </is>
      </c>
      <c r="BC464" t="inlineStr">
        <is>
          <t>32285000262039</t>
        </is>
      </c>
      <c r="BD464" t="inlineStr">
        <is>
          <t>893333286</t>
        </is>
      </c>
    </row>
    <row r="465">
      <c r="A465" t="inlineStr">
        <is>
          <t>No</t>
        </is>
      </c>
      <c r="B465" t="inlineStr">
        <is>
          <t>BV4241 .L38 1996</t>
        </is>
      </c>
      <c r="C465" t="inlineStr">
        <is>
          <t>0                      BV 4241000L  38          1996</t>
        </is>
      </c>
      <c r="D465" t="inlineStr">
        <is>
          <t>Women preaching revolution : calling for connection in a disconnected time / Elaine J. Lawless.</t>
        </is>
      </c>
      <c r="F465" t="inlineStr">
        <is>
          <t>No</t>
        </is>
      </c>
      <c r="G465" t="inlineStr">
        <is>
          <t>1</t>
        </is>
      </c>
      <c r="H465" t="inlineStr">
        <is>
          <t>No</t>
        </is>
      </c>
      <c r="I465" t="inlineStr">
        <is>
          <t>No</t>
        </is>
      </c>
      <c r="J465" t="inlineStr">
        <is>
          <t>0</t>
        </is>
      </c>
      <c r="K465" t="inlineStr">
        <is>
          <t>Lawless, Elaine J.</t>
        </is>
      </c>
      <c r="L465" t="inlineStr">
        <is>
          <t>Philadelphia, Pa. : University of Pennsylvania Press, c1996.</t>
        </is>
      </c>
      <c r="M465" t="inlineStr">
        <is>
          <t>1996</t>
        </is>
      </c>
      <c r="O465" t="inlineStr">
        <is>
          <t>eng</t>
        </is>
      </c>
      <c r="P465" t="inlineStr">
        <is>
          <t>pau</t>
        </is>
      </c>
      <c r="R465" t="inlineStr">
        <is>
          <t xml:space="preserve">BV </t>
        </is>
      </c>
      <c r="S465" t="n">
        <v>3</v>
      </c>
      <c r="T465" t="n">
        <v>3</v>
      </c>
      <c r="U465" t="inlineStr">
        <is>
          <t>2000-02-18</t>
        </is>
      </c>
      <c r="V465" t="inlineStr">
        <is>
          <t>2000-02-18</t>
        </is>
      </c>
      <c r="W465" t="inlineStr">
        <is>
          <t>1999-11-04</t>
        </is>
      </c>
      <c r="X465" t="inlineStr">
        <is>
          <t>1999-11-04</t>
        </is>
      </c>
      <c r="Y465" t="n">
        <v>240</v>
      </c>
      <c r="Z465" t="n">
        <v>214</v>
      </c>
      <c r="AA465" t="n">
        <v>847</v>
      </c>
      <c r="AB465" t="n">
        <v>3</v>
      </c>
      <c r="AC465" t="n">
        <v>4</v>
      </c>
      <c r="AD465" t="n">
        <v>16</v>
      </c>
      <c r="AE465" t="n">
        <v>32</v>
      </c>
      <c r="AF465" t="n">
        <v>3</v>
      </c>
      <c r="AG465" t="n">
        <v>13</v>
      </c>
      <c r="AH465" t="n">
        <v>5</v>
      </c>
      <c r="AI465" t="n">
        <v>8</v>
      </c>
      <c r="AJ465" t="n">
        <v>10</v>
      </c>
      <c r="AK465" t="n">
        <v>16</v>
      </c>
      <c r="AL465" t="n">
        <v>2</v>
      </c>
      <c r="AM465" t="n">
        <v>3</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HYPERLINK("https://creighton-primo.hosted.exlibrisgroup.com/primo-explore/search?tab=default_tab&amp;search_scope=EVERYTHING&amp;vid=01CRU&amp;lang=en_US&amp;offset=0&amp;query=any,contains,991005424399702656","Catalog Record")</f>
        <v/>
      </c>
      <c r="AT465">
        <f>HYPERLINK("http://www.worldcat.org/oclc/35084557","WorldCat Record")</f>
        <v/>
      </c>
      <c r="AU465" t="inlineStr">
        <is>
          <t>1010548:eng</t>
        </is>
      </c>
      <c r="AV465" t="inlineStr">
        <is>
          <t>35084557</t>
        </is>
      </c>
      <c r="AW465" t="inlineStr">
        <is>
          <t>991005424399702656</t>
        </is>
      </c>
      <c r="AX465" t="inlineStr">
        <is>
          <t>991005424399702656</t>
        </is>
      </c>
      <c r="AY465" t="inlineStr">
        <is>
          <t>2255407260002656</t>
        </is>
      </c>
      <c r="AZ465" t="inlineStr">
        <is>
          <t>BOOK</t>
        </is>
      </c>
      <c r="BB465" t="inlineStr">
        <is>
          <t>9780812231984</t>
        </is>
      </c>
      <c r="BC465" t="inlineStr">
        <is>
          <t>32285003618138</t>
        </is>
      </c>
      <c r="BD465" t="inlineStr">
        <is>
          <t>893431488</t>
        </is>
      </c>
    </row>
    <row r="466">
      <c r="A466" t="inlineStr">
        <is>
          <t>No</t>
        </is>
      </c>
      <c r="B466" t="inlineStr">
        <is>
          <t>BV4253 .B47 1985</t>
        </is>
      </c>
      <c r="C466" t="inlineStr">
        <is>
          <t>0                      BV 4253000B  47          1985</t>
        </is>
      </c>
      <c r="D466" t="inlineStr">
        <is>
          <t>St. Bernard's sermons on the Nativity / translated from the original Latin by a priest of Mount Melleray.</t>
        </is>
      </c>
      <c r="F466" t="inlineStr">
        <is>
          <t>No</t>
        </is>
      </c>
      <c r="G466" t="inlineStr">
        <is>
          <t>1</t>
        </is>
      </c>
      <c r="H466" t="inlineStr">
        <is>
          <t>No</t>
        </is>
      </c>
      <c r="I466" t="inlineStr">
        <is>
          <t>No</t>
        </is>
      </c>
      <c r="J466" t="inlineStr">
        <is>
          <t>0</t>
        </is>
      </c>
      <c r="K466" t="inlineStr">
        <is>
          <t>Bernard, of Clairvaux, Saint, 1090 or 1091-1153.</t>
        </is>
      </c>
      <c r="L466" t="inlineStr">
        <is>
          <t>Devon : Augustine, 1985.</t>
        </is>
      </c>
      <c r="M466" t="inlineStr">
        <is>
          <t>1985</t>
        </is>
      </c>
      <c r="O466" t="inlineStr">
        <is>
          <t>eng</t>
        </is>
      </c>
      <c r="P466" t="inlineStr">
        <is>
          <t>enk</t>
        </is>
      </c>
      <c r="R466" t="inlineStr">
        <is>
          <t xml:space="preserve">BV </t>
        </is>
      </c>
      <c r="S466" t="n">
        <v>3</v>
      </c>
      <c r="T466" t="n">
        <v>3</v>
      </c>
      <c r="U466" t="inlineStr">
        <is>
          <t>1998-01-14</t>
        </is>
      </c>
      <c r="V466" t="inlineStr">
        <is>
          <t>1998-01-14</t>
        </is>
      </c>
      <c r="W466" t="inlineStr">
        <is>
          <t>1992-02-21</t>
        </is>
      </c>
      <c r="X466" t="inlineStr">
        <is>
          <t>1992-02-21</t>
        </is>
      </c>
      <c r="Y466" t="n">
        <v>45</v>
      </c>
      <c r="Z466" t="n">
        <v>28</v>
      </c>
      <c r="AA466" t="n">
        <v>36</v>
      </c>
      <c r="AB466" t="n">
        <v>1</v>
      </c>
      <c r="AC466" t="n">
        <v>1</v>
      </c>
      <c r="AD466" t="n">
        <v>1</v>
      </c>
      <c r="AE466" t="n">
        <v>1</v>
      </c>
      <c r="AF466" t="n">
        <v>0</v>
      </c>
      <c r="AG466" t="n">
        <v>0</v>
      </c>
      <c r="AH466" t="n">
        <v>0</v>
      </c>
      <c r="AI466" t="n">
        <v>0</v>
      </c>
      <c r="AJ466" t="n">
        <v>1</v>
      </c>
      <c r="AK466" t="n">
        <v>1</v>
      </c>
      <c r="AL466" t="n">
        <v>0</v>
      </c>
      <c r="AM466" t="n">
        <v>0</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HYPERLINK("https://creighton-primo.hosted.exlibrisgroup.com/primo-explore/search?tab=default_tab&amp;search_scope=EVERYTHING&amp;vid=01CRU&amp;lang=en_US&amp;offset=0&amp;query=any,contains,991000827319702656","Catalog Record")</f>
        <v/>
      </c>
      <c r="AT466">
        <f>HYPERLINK("http://www.worldcat.org/oclc/13424118","WorldCat Record")</f>
        <v/>
      </c>
      <c r="AU466" t="inlineStr">
        <is>
          <t>3899009385:eng</t>
        </is>
      </c>
      <c r="AV466" t="inlineStr">
        <is>
          <t>13424118</t>
        </is>
      </c>
      <c r="AW466" t="inlineStr">
        <is>
          <t>991000827319702656</t>
        </is>
      </c>
      <c r="AX466" t="inlineStr">
        <is>
          <t>991000827319702656</t>
        </is>
      </c>
      <c r="AY466" t="inlineStr">
        <is>
          <t>2265614700002656</t>
        </is>
      </c>
      <c r="AZ466" t="inlineStr">
        <is>
          <t>BOOK</t>
        </is>
      </c>
      <c r="BB466" t="inlineStr">
        <is>
          <t>9780851727400</t>
        </is>
      </c>
      <c r="BC466" t="inlineStr">
        <is>
          <t>32285000965649</t>
        </is>
      </c>
      <c r="BD466" t="inlineStr">
        <is>
          <t>893797022</t>
        </is>
      </c>
    </row>
    <row r="467">
      <c r="A467" t="inlineStr">
        <is>
          <t>No</t>
        </is>
      </c>
      <c r="B467" t="inlineStr">
        <is>
          <t>BV4253 .L55 1986</t>
        </is>
      </c>
      <c r="C467" t="inlineStr">
        <is>
          <t>0                      BV 4253000L  55          1986</t>
        </is>
      </c>
      <c r="D467" t="inlineStr">
        <is>
          <t>The miracle of grace, and other messages / D. Martyn Lloyd-Jones.</t>
        </is>
      </c>
      <c r="F467" t="inlineStr">
        <is>
          <t>No</t>
        </is>
      </c>
      <c r="G467" t="inlineStr">
        <is>
          <t>1</t>
        </is>
      </c>
      <c r="H467" t="inlineStr">
        <is>
          <t>No</t>
        </is>
      </c>
      <c r="I467" t="inlineStr">
        <is>
          <t>No</t>
        </is>
      </c>
      <c r="J467" t="inlineStr">
        <is>
          <t>0</t>
        </is>
      </c>
      <c r="K467" t="inlineStr">
        <is>
          <t>Lloyd-Jones, David Martyn.</t>
        </is>
      </c>
      <c r="L467" t="inlineStr">
        <is>
          <t>Grand Rapids, Mich. : Baker Book House, c1986.</t>
        </is>
      </c>
      <c r="M467" t="inlineStr">
        <is>
          <t>1986</t>
        </is>
      </c>
      <c r="O467" t="inlineStr">
        <is>
          <t>eng</t>
        </is>
      </c>
      <c r="P467" t="inlineStr">
        <is>
          <t>miu</t>
        </is>
      </c>
      <c r="R467" t="inlineStr">
        <is>
          <t xml:space="preserve">BV </t>
        </is>
      </c>
      <c r="S467" t="n">
        <v>2</v>
      </c>
      <c r="T467" t="n">
        <v>2</v>
      </c>
      <c r="U467" t="inlineStr">
        <is>
          <t>2006-11-08</t>
        </is>
      </c>
      <c r="V467" t="inlineStr">
        <is>
          <t>2006-11-08</t>
        </is>
      </c>
      <c r="W467" t="inlineStr">
        <is>
          <t>2006-09-14</t>
        </is>
      </c>
      <c r="X467" t="inlineStr">
        <is>
          <t>2006-09-14</t>
        </is>
      </c>
      <c r="Y467" t="n">
        <v>77</v>
      </c>
      <c r="Z467" t="n">
        <v>66</v>
      </c>
      <c r="AA467" t="n">
        <v>66</v>
      </c>
      <c r="AB467" t="n">
        <v>1</v>
      </c>
      <c r="AC467" t="n">
        <v>1</v>
      </c>
      <c r="AD467" t="n">
        <v>1</v>
      </c>
      <c r="AE467" t="n">
        <v>1</v>
      </c>
      <c r="AF467" t="n">
        <v>1</v>
      </c>
      <c r="AG467" t="n">
        <v>1</v>
      </c>
      <c r="AH467" t="n">
        <v>0</v>
      </c>
      <c r="AI467" t="n">
        <v>0</v>
      </c>
      <c r="AJ467" t="n">
        <v>0</v>
      </c>
      <c r="AK467" t="n">
        <v>0</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HYPERLINK("https://creighton-primo.hosted.exlibrisgroup.com/primo-explore/search?tab=default_tab&amp;search_scope=EVERYTHING&amp;vid=01CRU&amp;lang=en_US&amp;offset=0&amp;query=any,contains,991004920149702656","Catalog Record")</f>
        <v/>
      </c>
      <c r="AT467">
        <f>HYPERLINK("http://www.worldcat.org/oclc/14360977","WorldCat Record")</f>
        <v/>
      </c>
      <c r="AU467" t="inlineStr">
        <is>
          <t>16026537:eng</t>
        </is>
      </c>
      <c r="AV467" t="inlineStr">
        <is>
          <t>14360977</t>
        </is>
      </c>
      <c r="AW467" t="inlineStr">
        <is>
          <t>991004920149702656</t>
        </is>
      </c>
      <c r="AX467" t="inlineStr">
        <is>
          <t>991004920149702656</t>
        </is>
      </c>
      <c r="AY467" t="inlineStr">
        <is>
          <t>2262227600002656</t>
        </is>
      </c>
      <c r="AZ467" t="inlineStr">
        <is>
          <t>BOOK</t>
        </is>
      </c>
      <c r="BB467" t="inlineStr">
        <is>
          <t>9780801056369</t>
        </is>
      </c>
      <c r="BC467" t="inlineStr">
        <is>
          <t>32285005223762</t>
        </is>
      </c>
      <c r="BD467" t="inlineStr">
        <is>
          <t>893344402</t>
        </is>
      </c>
    </row>
    <row r="468">
      <c r="A468" t="inlineStr">
        <is>
          <t>No</t>
        </is>
      </c>
      <c r="B468" t="inlineStr">
        <is>
          <t>BV4253 .T58</t>
        </is>
      </c>
      <c r="C468" t="inlineStr">
        <is>
          <t>0                      BV 4253000T  58</t>
        </is>
      </c>
      <c r="D468" t="inlineStr">
        <is>
          <t>The new being / by Paul Tillich.</t>
        </is>
      </c>
      <c r="F468" t="inlineStr">
        <is>
          <t>No</t>
        </is>
      </c>
      <c r="G468" t="inlineStr">
        <is>
          <t>1</t>
        </is>
      </c>
      <c r="H468" t="inlineStr">
        <is>
          <t>No</t>
        </is>
      </c>
      <c r="I468" t="inlineStr">
        <is>
          <t>No</t>
        </is>
      </c>
      <c r="J468" t="inlineStr">
        <is>
          <t>0</t>
        </is>
      </c>
      <c r="K468" t="inlineStr">
        <is>
          <t>Tillich, Paul, 1886-1965.</t>
        </is>
      </c>
      <c r="L468" t="inlineStr">
        <is>
          <t>New York, Scribner, 1955.</t>
        </is>
      </c>
      <c r="M468" t="inlineStr">
        <is>
          <t>1955</t>
        </is>
      </c>
      <c r="O468" t="inlineStr">
        <is>
          <t>eng</t>
        </is>
      </c>
      <c r="P468" t="inlineStr">
        <is>
          <t>nyu</t>
        </is>
      </c>
      <c r="R468" t="inlineStr">
        <is>
          <t xml:space="preserve">BV </t>
        </is>
      </c>
      <c r="S468" t="n">
        <v>2</v>
      </c>
      <c r="T468" t="n">
        <v>2</v>
      </c>
      <c r="U468" t="inlineStr">
        <is>
          <t>2000-06-07</t>
        </is>
      </c>
      <c r="V468" t="inlineStr">
        <is>
          <t>2000-06-07</t>
        </is>
      </c>
      <c r="W468" t="inlineStr">
        <is>
          <t>1992-02-21</t>
        </is>
      </c>
      <c r="X468" t="inlineStr">
        <is>
          <t>1992-02-21</t>
        </is>
      </c>
      <c r="Y468" t="n">
        <v>1461</v>
      </c>
      <c r="Z468" t="n">
        <v>1331</v>
      </c>
      <c r="AA468" t="n">
        <v>1388</v>
      </c>
      <c r="AB468" t="n">
        <v>13</v>
      </c>
      <c r="AC468" t="n">
        <v>13</v>
      </c>
      <c r="AD468" t="n">
        <v>55</v>
      </c>
      <c r="AE468" t="n">
        <v>57</v>
      </c>
      <c r="AF468" t="n">
        <v>24</v>
      </c>
      <c r="AG468" t="n">
        <v>25</v>
      </c>
      <c r="AH468" t="n">
        <v>10</v>
      </c>
      <c r="AI468" t="n">
        <v>10</v>
      </c>
      <c r="AJ468" t="n">
        <v>24</v>
      </c>
      <c r="AK468" t="n">
        <v>26</v>
      </c>
      <c r="AL468" t="n">
        <v>9</v>
      </c>
      <c r="AM468" t="n">
        <v>9</v>
      </c>
      <c r="AN468" t="n">
        <v>0</v>
      </c>
      <c r="AO468" t="n">
        <v>0</v>
      </c>
      <c r="AP468" t="inlineStr">
        <is>
          <t>No</t>
        </is>
      </c>
      <c r="AQ468" t="inlineStr">
        <is>
          <t>No</t>
        </is>
      </c>
      <c r="AR468">
        <f>HYPERLINK("http://catalog.hathitrust.org/Record/001414621","HathiTrust Record")</f>
        <v/>
      </c>
      <c r="AS468">
        <f>HYPERLINK("https://creighton-primo.hosted.exlibrisgroup.com/primo-explore/search?tab=default_tab&amp;search_scope=EVERYTHING&amp;vid=01CRU&amp;lang=en_US&amp;offset=0&amp;query=any,contains,991002460199702656","Catalog Record")</f>
        <v/>
      </c>
      <c r="AT468">
        <f>HYPERLINK("http://www.worldcat.org/oclc/355702","WorldCat Record")</f>
        <v/>
      </c>
      <c r="AU468" t="inlineStr">
        <is>
          <t>433941:eng</t>
        </is>
      </c>
      <c r="AV468" t="inlineStr">
        <is>
          <t>355702</t>
        </is>
      </c>
      <c r="AW468" t="inlineStr">
        <is>
          <t>991002460199702656</t>
        </is>
      </c>
      <c r="AX468" t="inlineStr">
        <is>
          <t>991002460199702656</t>
        </is>
      </c>
      <c r="AY468" t="inlineStr">
        <is>
          <t>2264701130002656</t>
        </is>
      </c>
      <c r="AZ468" t="inlineStr">
        <is>
          <t>BOOK</t>
        </is>
      </c>
      <c r="BC468" t="inlineStr">
        <is>
          <t>32285000965664</t>
        </is>
      </c>
      <c r="BD468" t="inlineStr">
        <is>
          <t>893329107</t>
        </is>
      </c>
    </row>
    <row r="469">
      <c r="A469" t="inlineStr">
        <is>
          <t>No</t>
        </is>
      </c>
      <c r="B469" t="inlineStr">
        <is>
          <t>BV4253 .T6</t>
        </is>
      </c>
      <c r="C469" t="inlineStr">
        <is>
          <t>0                      BV 4253000T  6</t>
        </is>
      </c>
      <c r="D469" t="inlineStr">
        <is>
          <t>The shaking of the foundations : [sermons] / by Paul Tillich.</t>
        </is>
      </c>
      <c r="F469" t="inlineStr">
        <is>
          <t>No</t>
        </is>
      </c>
      <c r="G469" t="inlineStr">
        <is>
          <t>1</t>
        </is>
      </c>
      <c r="H469" t="inlineStr">
        <is>
          <t>No</t>
        </is>
      </c>
      <c r="I469" t="inlineStr">
        <is>
          <t>No</t>
        </is>
      </c>
      <c r="J469" t="inlineStr">
        <is>
          <t>0</t>
        </is>
      </c>
      <c r="K469" t="inlineStr">
        <is>
          <t>Tillich, Paul, 1886-1965.</t>
        </is>
      </c>
      <c r="L469" t="inlineStr">
        <is>
          <t>New York, C. Scribner's Sons, 1948.</t>
        </is>
      </c>
      <c r="M469" t="inlineStr">
        <is>
          <t>1948</t>
        </is>
      </c>
      <c r="O469" t="inlineStr">
        <is>
          <t>eng</t>
        </is>
      </c>
      <c r="P469" t="inlineStr">
        <is>
          <t>nyu</t>
        </is>
      </c>
      <c r="R469" t="inlineStr">
        <is>
          <t xml:space="preserve">BV </t>
        </is>
      </c>
      <c r="S469" t="n">
        <v>3</v>
      </c>
      <c r="T469" t="n">
        <v>3</v>
      </c>
      <c r="U469" t="inlineStr">
        <is>
          <t>2009-10-28</t>
        </is>
      </c>
      <c r="V469" t="inlineStr">
        <is>
          <t>2009-10-28</t>
        </is>
      </c>
      <c r="W469" t="inlineStr">
        <is>
          <t>1992-02-21</t>
        </is>
      </c>
      <c r="X469" t="inlineStr">
        <is>
          <t>1992-02-21</t>
        </is>
      </c>
      <c r="Y469" t="n">
        <v>1254</v>
      </c>
      <c r="Z469" t="n">
        <v>1160</v>
      </c>
      <c r="AA469" t="n">
        <v>1321</v>
      </c>
      <c r="AB469" t="n">
        <v>10</v>
      </c>
      <c r="AC469" t="n">
        <v>14</v>
      </c>
      <c r="AD469" t="n">
        <v>49</v>
      </c>
      <c r="AE469" t="n">
        <v>55</v>
      </c>
      <c r="AF469" t="n">
        <v>24</v>
      </c>
      <c r="AG469" t="n">
        <v>25</v>
      </c>
      <c r="AH469" t="n">
        <v>8</v>
      </c>
      <c r="AI469" t="n">
        <v>10</v>
      </c>
      <c r="AJ469" t="n">
        <v>20</v>
      </c>
      <c r="AK469" t="n">
        <v>23</v>
      </c>
      <c r="AL469" t="n">
        <v>8</v>
      </c>
      <c r="AM469" t="n">
        <v>10</v>
      </c>
      <c r="AN469" t="n">
        <v>0</v>
      </c>
      <c r="AO469" t="n">
        <v>0</v>
      </c>
      <c r="AP469" t="inlineStr">
        <is>
          <t>No</t>
        </is>
      </c>
      <c r="AQ469" t="inlineStr">
        <is>
          <t>Yes</t>
        </is>
      </c>
      <c r="AR469">
        <f>HYPERLINK("http://catalog.hathitrust.org/Record/001401005","HathiTrust Record")</f>
        <v/>
      </c>
      <c r="AS469">
        <f>HYPERLINK("https://creighton-primo.hosted.exlibrisgroup.com/primo-explore/search?tab=default_tab&amp;search_scope=EVERYTHING&amp;vid=01CRU&amp;lang=en_US&amp;offset=0&amp;query=any,contains,991002099229702656","Catalog Record")</f>
        <v/>
      </c>
      <c r="AT469">
        <f>HYPERLINK("http://www.worldcat.org/oclc/266150","WorldCat Record")</f>
        <v/>
      </c>
      <c r="AU469" t="inlineStr">
        <is>
          <t>577220:eng</t>
        </is>
      </c>
      <c r="AV469" t="inlineStr">
        <is>
          <t>266150</t>
        </is>
      </c>
      <c r="AW469" t="inlineStr">
        <is>
          <t>991002099229702656</t>
        </is>
      </c>
      <c r="AX469" t="inlineStr">
        <is>
          <t>991002099229702656</t>
        </is>
      </c>
      <c r="AY469" t="inlineStr">
        <is>
          <t>2269575700002656</t>
        </is>
      </c>
      <c r="AZ469" t="inlineStr">
        <is>
          <t>BOOK</t>
        </is>
      </c>
      <c r="BC469" t="inlineStr">
        <is>
          <t>32285000965672</t>
        </is>
      </c>
      <c r="BD469" t="inlineStr">
        <is>
          <t>893684955</t>
        </is>
      </c>
    </row>
    <row r="470">
      <c r="A470" t="inlineStr">
        <is>
          <t>No</t>
        </is>
      </c>
      <c r="B470" t="inlineStr">
        <is>
          <t>BV4254.2 .W55 1995</t>
        </is>
      </c>
      <c r="C470" t="inlineStr">
        <is>
          <t>0                      BV 4254200W  55          1995</t>
        </is>
      </c>
      <c r="D470" t="inlineStr">
        <is>
          <t>A ray of darkness : sermons and reflections / Rowan Williams.</t>
        </is>
      </c>
      <c r="F470" t="inlineStr">
        <is>
          <t>No</t>
        </is>
      </c>
      <c r="G470" t="inlineStr">
        <is>
          <t>1</t>
        </is>
      </c>
      <c r="H470" t="inlineStr">
        <is>
          <t>No</t>
        </is>
      </c>
      <c r="I470" t="inlineStr">
        <is>
          <t>No</t>
        </is>
      </c>
      <c r="J470" t="inlineStr">
        <is>
          <t>0</t>
        </is>
      </c>
      <c r="K470" t="inlineStr">
        <is>
          <t>Williams, Rowan, 1950-</t>
        </is>
      </c>
      <c r="L470" t="inlineStr">
        <is>
          <t>Cambridge, Mass. : Cowley Publications, c1995.</t>
        </is>
      </c>
      <c r="M470" t="inlineStr">
        <is>
          <t>1995</t>
        </is>
      </c>
      <c r="O470" t="inlineStr">
        <is>
          <t>eng</t>
        </is>
      </c>
      <c r="P470" t="inlineStr">
        <is>
          <t>mau</t>
        </is>
      </c>
      <c r="R470" t="inlineStr">
        <is>
          <t xml:space="preserve">BV </t>
        </is>
      </c>
      <c r="S470" t="n">
        <v>2</v>
      </c>
      <c r="T470" t="n">
        <v>2</v>
      </c>
      <c r="U470" t="inlineStr">
        <is>
          <t>2002-10-18</t>
        </is>
      </c>
      <c r="V470" t="inlineStr">
        <is>
          <t>2002-10-18</t>
        </is>
      </c>
      <c r="W470" t="inlineStr">
        <is>
          <t>1998-12-09</t>
        </is>
      </c>
      <c r="X470" t="inlineStr">
        <is>
          <t>1998-12-09</t>
        </is>
      </c>
      <c r="Y470" t="n">
        <v>145</v>
      </c>
      <c r="Z470" t="n">
        <v>118</v>
      </c>
      <c r="AA470" t="n">
        <v>132</v>
      </c>
      <c r="AB470" t="n">
        <v>2</v>
      </c>
      <c r="AC470" t="n">
        <v>2</v>
      </c>
      <c r="AD470" t="n">
        <v>11</v>
      </c>
      <c r="AE470" t="n">
        <v>11</v>
      </c>
      <c r="AF470" t="n">
        <v>5</v>
      </c>
      <c r="AG470" t="n">
        <v>5</v>
      </c>
      <c r="AH470" t="n">
        <v>3</v>
      </c>
      <c r="AI470" t="n">
        <v>3</v>
      </c>
      <c r="AJ470" t="n">
        <v>4</v>
      </c>
      <c r="AK470" t="n">
        <v>4</v>
      </c>
      <c r="AL470" t="n">
        <v>1</v>
      </c>
      <c r="AM470" t="n">
        <v>1</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HYPERLINK("https://creighton-primo.hosted.exlibrisgroup.com/primo-explore/search?tab=default_tab&amp;search_scope=EVERYTHING&amp;vid=01CRU&amp;lang=en_US&amp;offset=0&amp;query=any,contains,991002460109702656","Catalog Record")</f>
        <v/>
      </c>
      <c r="AT470">
        <f>HYPERLINK("http://www.worldcat.org/oclc/32051627","WorldCat Record")</f>
        <v/>
      </c>
      <c r="AU470" t="inlineStr">
        <is>
          <t>476676443:eng</t>
        </is>
      </c>
      <c r="AV470" t="inlineStr">
        <is>
          <t>32051627</t>
        </is>
      </c>
      <c r="AW470" t="inlineStr">
        <is>
          <t>991002460109702656</t>
        </is>
      </c>
      <c r="AX470" t="inlineStr">
        <is>
          <t>991002460109702656</t>
        </is>
      </c>
      <c r="AY470" t="inlineStr">
        <is>
          <t>2270171150002656</t>
        </is>
      </c>
      <c r="AZ470" t="inlineStr">
        <is>
          <t>BOOK</t>
        </is>
      </c>
      <c r="BB470" t="inlineStr">
        <is>
          <t>9781561011124</t>
        </is>
      </c>
      <c r="BC470" t="inlineStr">
        <is>
          <t>32285003505210</t>
        </is>
      </c>
      <c r="BD470" t="inlineStr">
        <is>
          <t>893603625</t>
        </is>
      </c>
    </row>
    <row r="471">
      <c r="A471" t="inlineStr">
        <is>
          <t>No</t>
        </is>
      </c>
      <c r="B471" t="inlineStr">
        <is>
          <t>BV4257 .P313 1964</t>
        </is>
      </c>
      <c r="C471" t="inlineStr">
        <is>
          <t>0                      BV 4257000P  313         1964</t>
        </is>
      </c>
      <c r="D471" t="inlineStr">
        <is>
          <t>Homilies on Christmas and Epiphany / by Giovanni Battista Cardinal Montini. [Translated by Michael Campo]</t>
        </is>
      </c>
      <c r="F471" t="inlineStr">
        <is>
          <t>No</t>
        </is>
      </c>
      <c r="G471" t="inlineStr">
        <is>
          <t>1</t>
        </is>
      </c>
      <c r="H471" t="inlineStr">
        <is>
          <t>No</t>
        </is>
      </c>
      <c r="I471" t="inlineStr">
        <is>
          <t>No</t>
        </is>
      </c>
      <c r="J471" t="inlineStr">
        <is>
          <t>0</t>
        </is>
      </c>
      <c r="K471" t="inlineStr">
        <is>
          <t>Paul VI, Pope, 1897-1978.</t>
        </is>
      </c>
      <c r="L471" t="inlineStr">
        <is>
          <t>Baltimore : Helicon, [1964]</t>
        </is>
      </c>
      <c r="M471" t="inlineStr">
        <is>
          <t>1964</t>
        </is>
      </c>
      <c r="O471" t="inlineStr">
        <is>
          <t>eng</t>
        </is>
      </c>
      <c r="P471" t="inlineStr">
        <is>
          <t xml:space="preserve">xx </t>
        </is>
      </c>
      <c r="R471" t="inlineStr">
        <is>
          <t xml:space="preserve">BV </t>
        </is>
      </c>
      <c r="S471" t="n">
        <v>2</v>
      </c>
      <c r="T471" t="n">
        <v>2</v>
      </c>
      <c r="U471" t="inlineStr">
        <is>
          <t>1996-12-19</t>
        </is>
      </c>
      <c r="V471" t="inlineStr">
        <is>
          <t>1996-12-19</t>
        </is>
      </c>
      <c r="W471" t="inlineStr">
        <is>
          <t>1992-02-21</t>
        </is>
      </c>
      <c r="X471" t="inlineStr">
        <is>
          <t>1992-02-21</t>
        </is>
      </c>
      <c r="Y471" t="n">
        <v>133</v>
      </c>
      <c r="Z471" t="n">
        <v>119</v>
      </c>
      <c r="AA471" t="n">
        <v>120</v>
      </c>
      <c r="AB471" t="n">
        <v>2</v>
      </c>
      <c r="AC471" t="n">
        <v>2</v>
      </c>
      <c r="AD471" t="n">
        <v>17</v>
      </c>
      <c r="AE471" t="n">
        <v>17</v>
      </c>
      <c r="AF471" t="n">
        <v>4</v>
      </c>
      <c r="AG471" t="n">
        <v>4</v>
      </c>
      <c r="AH471" t="n">
        <v>5</v>
      </c>
      <c r="AI471" t="n">
        <v>5</v>
      </c>
      <c r="AJ471" t="n">
        <v>13</v>
      </c>
      <c r="AK471" t="n">
        <v>13</v>
      </c>
      <c r="AL471" t="n">
        <v>0</v>
      </c>
      <c r="AM471" t="n">
        <v>0</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HYPERLINK("https://creighton-primo.hosted.exlibrisgroup.com/primo-explore/search?tab=default_tab&amp;search_scope=EVERYTHING&amp;vid=01CRU&amp;lang=en_US&amp;offset=0&amp;query=any,contains,991003153899702656","Catalog Record")</f>
        <v/>
      </c>
      <c r="AT471">
        <f>HYPERLINK("http://www.worldcat.org/oclc/693105","WorldCat Record")</f>
        <v/>
      </c>
      <c r="AU471" t="inlineStr">
        <is>
          <t>434784096:eng</t>
        </is>
      </c>
      <c r="AV471" t="inlineStr">
        <is>
          <t>693105</t>
        </is>
      </c>
      <c r="AW471" t="inlineStr">
        <is>
          <t>991003153899702656</t>
        </is>
      </c>
      <c r="AX471" t="inlineStr">
        <is>
          <t>991003153899702656</t>
        </is>
      </c>
      <c r="AY471" t="inlineStr">
        <is>
          <t>2266446010002656</t>
        </is>
      </c>
      <c r="AZ471" t="inlineStr">
        <is>
          <t>BOOK</t>
        </is>
      </c>
      <c r="BC471" t="inlineStr">
        <is>
          <t>32285000965680</t>
        </is>
      </c>
      <c r="BD471" t="inlineStr">
        <is>
          <t>893805483</t>
        </is>
      </c>
    </row>
    <row r="472">
      <c r="A472" t="inlineStr">
        <is>
          <t>No</t>
        </is>
      </c>
      <c r="B472" t="inlineStr">
        <is>
          <t>BV4278 .K58 1957</t>
        </is>
      </c>
      <c r="C472" t="inlineStr">
        <is>
          <t>0                      BV 4278000K  58          1957</t>
        </is>
      </c>
      <c r="D472" t="inlineStr">
        <is>
          <t>Bridegroom and bride / by Ronald Knox.</t>
        </is>
      </c>
      <c r="F472" t="inlineStr">
        <is>
          <t>No</t>
        </is>
      </c>
      <c r="G472" t="inlineStr">
        <is>
          <t>1</t>
        </is>
      </c>
      <c r="H472" t="inlineStr">
        <is>
          <t>No</t>
        </is>
      </c>
      <c r="I472" t="inlineStr">
        <is>
          <t>No</t>
        </is>
      </c>
      <c r="J472" t="inlineStr">
        <is>
          <t>0</t>
        </is>
      </c>
      <c r="K472" t="inlineStr">
        <is>
          <t>Knox, Ronald Arbuthnott, 1888-1957.</t>
        </is>
      </c>
      <c r="L472" t="inlineStr">
        <is>
          <t>New York : Sheed &amp; Ward, [1957]</t>
        </is>
      </c>
      <c r="M472" t="inlineStr">
        <is>
          <t>1957</t>
        </is>
      </c>
      <c r="O472" t="inlineStr">
        <is>
          <t>eng</t>
        </is>
      </c>
      <c r="P472" t="inlineStr">
        <is>
          <t>___</t>
        </is>
      </c>
      <c r="R472" t="inlineStr">
        <is>
          <t xml:space="preserve">BV </t>
        </is>
      </c>
      <c r="S472" t="n">
        <v>6</v>
      </c>
      <c r="T472" t="n">
        <v>6</v>
      </c>
      <c r="U472" t="inlineStr">
        <is>
          <t>2001-09-24</t>
        </is>
      </c>
      <c r="V472" t="inlineStr">
        <is>
          <t>2001-09-24</t>
        </is>
      </c>
      <c r="W472" t="inlineStr">
        <is>
          <t>1992-02-21</t>
        </is>
      </c>
      <c r="X472" t="inlineStr">
        <is>
          <t>1992-02-21</t>
        </is>
      </c>
      <c r="Y472" t="n">
        <v>140</v>
      </c>
      <c r="Z472" t="n">
        <v>123</v>
      </c>
      <c r="AA472" t="n">
        <v>143</v>
      </c>
      <c r="AB472" t="n">
        <v>3</v>
      </c>
      <c r="AC472" t="n">
        <v>3</v>
      </c>
      <c r="AD472" t="n">
        <v>21</v>
      </c>
      <c r="AE472" t="n">
        <v>23</v>
      </c>
      <c r="AF472" t="n">
        <v>6</v>
      </c>
      <c r="AG472" t="n">
        <v>6</v>
      </c>
      <c r="AH472" t="n">
        <v>4</v>
      </c>
      <c r="AI472" t="n">
        <v>6</v>
      </c>
      <c r="AJ472" t="n">
        <v>15</v>
      </c>
      <c r="AK472" t="n">
        <v>17</v>
      </c>
      <c r="AL472" t="n">
        <v>1</v>
      </c>
      <c r="AM472" t="n">
        <v>1</v>
      </c>
      <c r="AN472" t="n">
        <v>0</v>
      </c>
      <c r="AO472" t="n">
        <v>0</v>
      </c>
      <c r="AP472" t="inlineStr">
        <is>
          <t>No</t>
        </is>
      </c>
      <c r="AQ472" t="inlineStr">
        <is>
          <t>Yes</t>
        </is>
      </c>
      <c r="AR472">
        <f>HYPERLINK("http://catalog.hathitrust.org/Record/001925582","HathiTrust Record")</f>
        <v/>
      </c>
      <c r="AS472">
        <f>HYPERLINK("https://creighton-primo.hosted.exlibrisgroup.com/primo-explore/search?tab=default_tab&amp;search_scope=EVERYTHING&amp;vid=01CRU&amp;lang=en_US&amp;offset=0&amp;query=any,contains,991003706899702656","Catalog Record")</f>
        <v/>
      </c>
      <c r="AT472">
        <f>HYPERLINK("http://www.worldcat.org/oclc/1344892","WorldCat Record")</f>
        <v/>
      </c>
      <c r="AU472" t="inlineStr">
        <is>
          <t>2239227:eng</t>
        </is>
      </c>
      <c r="AV472" t="inlineStr">
        <is>
          <t>1344892</t>
        </is>
      </c>
      <c r="AW472" t="inlineStr">
        <is>
          <t>991003706899702656</t>
        </is>
      </c>
      <c r="AX472" t="inlineStr">
        <is>
          <t>991003706899702656</t>
        </is>
      </c>
      <c r="AY472" t="inlineStr">
        <is>
          <t>2260062620002656</t>
        </is>
      </c>
      <c r="AZ472" t="inlineStr">
        <is>
          <t>BOOK</t>
        </is>
      </c>
      <c r="BC472" t="inlineStr">
        <is>
          <t>32285000965714</t>
        </is>
      </c>
      <c r="BD472" t="inlineStr">
        <is>
          <t>893693055</t>
        </is>
      </c>
    </row>
    <row r="473">
      <c r="A473" t="inlineStr">
        <is>
          <t>No</t>
        </is>
      </c>
      <c r="B473" t="inlineStr">
        <is>
          <t>BV4278 .R6313 1977</t>
        </is>
      </c>
      <c r="C473" t="inlineStr">
        <is>
          <t>0                      BV 4278000R  6313        1977</t>
        </is>
      </c>
      <c r="D473" t="inlineStr">
        <is>
          <t>Homilies for the celebration of marriage / by A. M. Roguet ; translated by Jerome J. DuCharme.</t>
        </is>
      </c>
      <c r="F473" t="inlineStr">
        <is>
          <t>No</t>
        </is>
      </c>
      <c r="G473" t="inlineStr">
        <is>
          <t>1</t>
        </is>
      </c>
      <c r="H473" t="inlineStr">
        <is>
          <t>No</t>
        </is>
      </c>
      <c r="I473" t="inlineStr">
        <is>
          <t>No</t>
        </is>
      </c>
      <c r="J473" t="inlineStr">
        <is>
          <t>0</t>
        </is>
      </c>
      <c r="K473" t="inlineStr">
        <is>
          <t>Roguet, A.-M. (Aymon-Marie), 1906-1991.</t>
        </is>
      </c>
      <c r="L473" t="inlineStr">
        <is>
          <t>Chicago : Franciscan Herald Press, c1977.</t>
        </is>
      </c>
      <c r="M473" t="inlineStr">
        <is>
          <t>1977</t>
        </is>
      </c>
      <c r="O473" t="inlineStr">
        <is>
          <t>eng</t>
        </is>
      </c>
      <c r="P473" t="inlineStr">
        <is>
          <t>ilu</t>
        </is>
      </c>
      <c r="R473" t="inlineStr">
        <is>
          <t xml:space="preserve">BV </t>
        </is>
      </c>
      <c r="S473" t="n">
        <v>7</v>
      </c>
      <c r="T473" t="n">
        <v>7</v>
      </c>
      <c r="U473" t="inlineStr">
        <is>
          <t>2005-10-21</t>
        </is>
      </c>
      <c r="V473" t="inlineStr">
        <is>
          <t>2005-10-21</t>
        </is>
      </c>
      <c r="W473" t="inlineStr">
        <is>
          <t>1991-02-25</t>
        </is>
      </c>
      <c r="X473" t="inlineStr">
        <is>
          <t>1991-02-25</t>
        </is>
      </c>
      <c r="Y473" t="n">
        <v>66</v>
      </c>
      <c r="Z473" t="n">
        <v>53</v>
      </c>
      <c r="AA473" t="n">
        <v>53</v>
      </c>
      <c r="AB473" t="n">
        <v>1</v>
      </c>
      <c r="AC473" t="n">
        <v>1</v>
      </c>
      <c r="AD473" t="n">
        <v>6</v>
      </c>
      <c r="AE473" t="n">
        <v>6</v>
      </c>
      <c r="AF473" t="n">
        <v>1</v>
      </c>
      <c r="AG473" t="n">
        <v>1</v>
      </c>
      <c r="AH473" t="n">
        <v>1</v>
      </c>
      <c r="AI473" t="n">
        <v>1</v>
      </c>
      <c r="AJ473" t="n">
        <v>5</v>
      </c>
      <c r="AK473" t="n">
        <v>5</v>
      </c>
      <c r="AL473" t="n">
        <v>0</v>
      </c>
      <c r="AM473" t="n">
        <v>0</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HYPERLINK("https://creighton-primo.hosted.exlibrisgroup.com/primo-explore/search?tab=default_tab&amp;search_scope=EVERYTHING&amp;vid=01CRU&amp;lang=en_US&amp;offset=0&amp;query=any,contains,991004175189702656","Catalog Record")</f>
        <v/>
      </c>
      <c r="AT473">
        <f>HYPERLINK("http://www.worldcat.org/oclc/2595509","WorldCat Record")</f>
        <v/>
      </c>
      <c r="AU473" t="inlineStr">
        <is>
          <t>2927443009:eng</t>
        </is>
      </c>
      <c r="AV473" t="inlineStr">
        <is>
          <t>2595509</t>
        </is>
      </c>
      <c r="AW473" t="inlineStr">
        <is>
          <t>991004175189702656</t>
        </is>
      </c>
      <c r="AX473" t="inlineStr">
        <is>
          <t>991004175189702656</t>
        </is>
      </c>
      <c r="AY473" t="inlineStr">
        <is>
          <t>2266494600002656</t>
        </is>
      </c>
      <c r="AZ473" t="inlineStr">
        <is>
          <t>BOOK</t>
        </is>
      </c>
      <c r="BB473" t="inlineStr">
        <is>
          <t>9780819906564</t>
        </is>
      </c>
      <c r="BC473" t="inlineStr">
        <is>
          <t>32285000491489</t>
        </is>
      </c>
      <c r="BD473" t="inlineStr">
        <is>
          <t>893411211</t>
        </is>
      </c>
    </row>
    <row r="474">
      <c r="A474" t="inlineStr">
        <is>
          <t>No</t>
        </is>
      </c>
      <c r="B474" t="inlineStr">
        <is>
          <t>BV43 .B8</t>
        </is>
      </c>
      <c r="C474" t="inlineStr">
        <is>
          <t>0                      BV 0043000B  8</t>
        </is>
      </c>
      <c r="D474" t="inlineStr">
        <is>
          <t>The movable feasts, fasts, and other annual observances of the Catholic Church / by the Rev. Alban Butler. To which is added, A continuation of the feasts and fasts by A Catholic priest.</t>
        </is>
      </c>
      <c r="F474" t="inlineStr">
        <is>
          <t>No</t>
        </is>
      </c>
      <c r="G474" t="inlineStr">
        <is>
          <t>1</t>
        </is>
      </c>
      <c r="H474" t="inlineStr">
        <is>
          <t>No</t>
        </is>
      </c>
      <c r="I474" t="inlineStr">
        <is>
          <t>No</t>
        </is>
      </c>
      <c r="J474" t="inlineStr">
        <is>
          <t>0</t>
        </is>
      </c>
      <c r="K474" t="inlineStr">
        <is>
          <t>Butler, Alban, 1711-1773.</t>
        </is>
      </c>
      <c r="L474" t="inlineStr">
        <is>
          <t>New York : P.J. Kenedy, [n.d.]</t>
        </is>
      </c>
      <c r="O474" t="inlineStr">
        <is>
          <t>eng</t>
        </is>
      </c>
      <c r="P474" t="inlineStr">
        <is>
          <t>nyu</t>
        </is>
      </c>
      <c r="R474" t="inlineStr">
        <is>
          <t xml:space="preserve">BV </t>
        </is>
      </c>
      <c r="S474" t="n">
        <v>1</v>
      </c>
      <c r="T474" t="n">
        <v>1</v>
      </c>
      <c r="U474" t="inlineStr">
        <is>
          <t>2006-09-25</t>
        </is>
      </c>
      <c r="V474" t="inlineStr">
        <is>
          <t>2006-09-25</t>
        </is>
      </c>
      <c r="W474" t="inlineStr">
        <is>
          <t>1991-11-11</t>
        </is>
      </c>
      <c r="X474" t="inlineStr">
        <is>
          <t>1991-11-11</t>
        </is>
      </c>
      <c r="Y474" t="n">
        <v>14</v>
      </c>
      <c r="Z474" t="n">
        <v>11</v>
      </c>
      <c r="AA474" t="n">
        <v>198</v>
      </c>
      <c r="AB474" t="n">
        <v>1</v>
      </c>
      <c r="AC474" t="n">
        <v>2</v>
      </c>
      <c r="AD474" t="n">
        <v>3</v>
      </c>
      <c r="AE474" t="n">
        <v>18</v>
      </c>
      <c r="AF474" t="n">
        <v>0</v>
      </c>
      <c r="AG474" t="n">
        <v>1</v>
      </c>
      <c r="AH474" t="n">
        <v>1</v>
      </c>
      <c r="AI474" t="n">
        <v>8</v>
      </c>
      <c r="AJ474" t="n">
        <v>2</v>
      </c>
      <c r="AK474" t="n">
        <v>12</v>
      </c>
      <c r="AL474" t="n">
        <v>0</v>
      </c>
      <c r="AM474" t="n">
        <v>1</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HYPERLINK("https://creighton-primo.hosted.exlibrisgroup.com/primo-explore/search?tab=default_tab&amp;search_scope=EVERYTHING&amp;vid=01CRU&amp;lang=en_US&amp;offset=0&amp;query=any,contains,991000869339702656","Catalog Record")</f>
        <v/>
      </c>
      <c r="AT474">
        <f>HYPERLINK("http://www.worldcat.org/oclc/31472539","WorldCat Record")</f>
        <v/>
      </c>
      <c r="AU474" t="inlineStr">
        <is>
          <t>4747585:eng</t>
        </is>
      </c>
      <c r="AV474" t="inlineStr">
        <is>
          <t>31472539</t>
        </is>
      </c>
      <c r="AW474" t="inlineStr">
        <is>
          <t>991000869339702656</t>
        </is>
      </c>
      <c r="AX474" t="inlineStr">
        <is>
          <t>991000869339702656</t>
        </is>
      </c>
      <c r="AY474" t="inlineStr">
        <is>
          <t>2266712840002656</t>
        </is>
      </c>
      <c r="AZ474" t="inlineStr">
        <is>
          <t>BOOK</t>
        </is>
      </c>
      <c r="BC474" t="inlineStr">
        <is>
          <t>32285000835073</t>
        </is>
      </c>
      <c r="BD474" t="inlineStr">
        <is>
          <t>893413758</t>
        </is>
      </c>
    </row>
    <row r="475">
      <c r="A475" t="inlineStr">
        <is>
          <t>No</t>
        </is>
      </c>
      <c r="B475" t="inlineStr">
        <is>
          <t>BV4319 .C37 1992</t>
        </is>
      </c>
      <c r="C475" t="inlineStr">
        <is>
          <t>0                      BV 4319000C  37          1992</t>
        </is>
      </c>
      <c r="D475" t="inlineStr">
        <is>
          <t>A new era = Aetatis novae : pastoral instruction on social communications on the twentieth anniversary of Communio et progressio / Pontifical Council for Social Communications. Also included: Communio et progressio and Inter mirifica.</t>
        </is>
      </c>
      <c r="F475" t="inlineStr">
        <is>
          <t>No</t>
        </is>
      </c>
      <c r="G475" t="inlineStr">
        <is>
          <t>1</t>
        </is>
      </c>
      <c r="H475" t="inlineStr">
        <is>
          <t>No</t>
        </is>
      </c>
      <c r="I475" t="inlineStr">
        <is>
          <t>No</t>
        </is>
      </c>
      <c r="J475" t="inlineStr">
        <is>
          <t>0</t>
        </is>
      </c>
      <c r="K475" t="inlineStr">
        <is>
          <t>Catholic Church. Pontificium Consilium de Communicationibus Socialibus.</t>
        </is>
      </c>
      <c r="L475" t="inlineStr">
        <is>
          <t>Vatican City : Libreria Editrice Vaticana ; [Washington, D.C. : United States Catholic Conference], c1992.</t>
        </is>
      </c>
      <c r="M475" t="inlineStr">
        <is>
          <t>1992</t>
        </is>
      </c>
      <c r="O475" t="inlineStr">
        <is>
          <t>eng</t>
        </is>
      </c>
      <c r="P475" t="inlineStr">
        <is>
          <t xml:space="preserve">vc </t>
        </is>
      </c>
      <c r="Q475" t="inlineStr">
        <is>
          <t>Publication / Office for Publishing and Promotion Services, United States Catholic Conference ; no. 504-6</t>
        </is>
      </c>
      <c r="R475" t="inlineStr">
        <is>
          <t xml:space="preserve">BV </t>
        </is>
      </c>
      <c r="S475" t="n">
        <v>4</v>
      </c>
      <c r="T475" t="n">
        <v>4</v>
      </c>
      <c r="U475" t="inlineStr">
        <is>
          <t>1993-04-07</t>
        </is>
      </c>
      <c r="V475" t="inlineStr">
        <is>
          <t>1993-04-07</t>
        </is>
      </c>
      <c r="W475" t="inlineStr">
        <is>
          <t>1992-09-09</t>
        </is>
      </c>
      <c r="X475" t="inlineStr">
        <is>
          <t>1992-09-09</t>
        </is>
      </c>
      <c r="Y475" t="n">
        <v>67</v>
      </c>
      <c r="Z475" t="n">
        <v>66</v>
      </c>
      <c r="AA475" t="n">
        <v>66</v>
      </c>
      <c r="AB475" t="n">
        <v>1</v>
      </c>
      <c r="AC475" t="n">
        <v>1</v>
      </c>
      <c r="AD475" t="n">
        <v>13</v>
      </c>
      <c r="AE475" t="n">
        <v>13</v>
      </c>
      <c r="AF475" t="n">
        <v>3</v>
      </c>
      <c r="AG475" t="n">
        <v>3</v>
      </c>
      <c r="AH475" t="n">
        <v>4</v>
      </c>
      <c r="AI475" t="n">
        <v>4</v>
      </c>
      <c r="AJ475" t="n">
        <v>9</v>
      </c>
      <c r="AK475" t="n">
        <v>9</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HYPERLINK("https://creighton-primo.hosted.exlibrisgroup.com/primo-explore/search?tab=default_tab&amp;search_scope=EVERYTHING&amp;vid=01CRU&amp;lang=en_US&amp;offset=0&amp;query=any,contains,991002060899702656","Catalog Record")</f>
        <v/>
      </c>
      <c r="AT475">
        <f>HYPERLINK("http://www.worldcat.org/oclc/26366737","WorldCat Record")</f>
        <v/>
      </c>
      <c r="AU475" t="inlineStr">
        <is>
          <t>5611855146:eng</t>
        </is>
      </c>
      <c r="AV475" t="inlineStr">
        <is>
          <t>26366737</t>
        </is>
      </c>
      <c r="AW475" t="inlineStr">
        <is>
          <t>991002060899702656</t>
        </is>
      </c>
      <c r="AX475" t="inlineStr">
        <is>
          <t>991002060899702656</t>
        </is>
      </c>
      <c r="AY475" t="inlineStr">
        <is>
          <t>2262768750002656</t>
        </is>
      </c>
      <c r="AZ475" t="inlineStr">
        <is>
          <t>BOOK</t>
        </is>
      </c>
      <c r="BC475" t="inlineStr">
        <is>
          <t>32285001284693</t>
        </is>
      </c>
      <c r="BD475" t="inlineStr">
        <is>
          <t>893322509</t>
        </is>
      </c>
    </row>
    <row r="476">
      <c r="A476" t="inlineStr">
        <is>
          <t>No</t>
        </is>
      </c>
      <c r="B476" t="inlineStr">
        <is>
          <t>BV4319 .C38 2004</t>
        </is>
      </c>
      <c r="C476" t="inlineStr">
        <is>
          <t>0                      BV 4319000C  38          2004</t>
        </is>
      </c>
      <c r="D476" t="inlineStr">
        <is>
          <t>The permission to publish : a resource for diocesan and eparchial bishops on the approvals needed to publish various kinds of written works / Committee on Doctrine, United States Conference of Catholic Bishops.</t>
        </is>
      </c>
      <c r="F476" t="inlineStr">
        <is>
          <t>No</t>
        </is>
      </c>
      <c r="G476" t="inlineStr">
        <is>
          <t>1</t>
        </is>
      </c>
      <c r="H476" t="inlineStr">
        <is>
          <t>No</t>
        </is>
      </c>
      <c r="I476" t="inlineStr">
        <is>
          <t>No</t>
        </is>
      </c>
      <c r="J476" t="inlineStr">
        <is>
          <t>0</t>
        </is>
      </c>
      <c r="K476" t="inlineStr">
        <is>
          <t>Catholic Church. United States Conference of Catholic Bishops. Committee on Doctrine.</t>
        </is>
      </c>
      <c r="L476" t="inlineStr">
        <is>
          <t>Washington, DC : United States Conference of Catholic Bishops, 2004.</t>
        </is>
      </c>
      <c r="M476" t="inlineStr">
        <is>
          <t>2004</t>
        </is>
      </c>
      <c r="O476" t="inlineStr">
        <is>
          <t>eng</t>
        </is>
      </c>
      <c r="P476" t="inlineStr">
        <is>
          <t>dcu</t>
        </is>
      </c>
      <c r="Q476" t="inlineStr">
        <is>
          <t>Publication ; no. 5-622</t>
        </is>
      </c>
      <c r="R476" t="inlineStr">
        <is>
          <t xml:space="preserve">BV </t>
        </is>
      </c>
      <c r="S476" t="n">
        <v>1</v>
      </c>
      <c r="T476" t="n">
        <v>1</v>
      </c>
      <c r="U476" t="inlineStr">
        <is>
          <t>2004-09-22</t>
        </is>
      </c>
      <c r="V476" t="inlineStr">
        <is>
          <t>2004-09-22</t>
        </is>
      </c>
      <c r="W476" t="inlineStr">
        <is>
          <t>2004-09-22</t>
        </is>
      </c>
      <c r="X476" t="inlineStr">
        <is>
          <t>2004-09-22</t>
        </is>
      </c>
      <c r="Y476" t="n">
        <v>70</v>
      </c>
      <c r="Z476" t="n">
        <v>69</v>
      </c>
      <c r="AA476" t="n">
        <v>69</v>
      </c>
      <c r="AB476" t="n">
        <v>1</v>
      </c>
      <c r="AC476" t="n">
        <v>1</v>
      </c>
      <c r="AD476" t="n">
        <v>9</v>
      </c>
      <c r="AE476" t="n">
        <v>9</v>
      </c>
      <c r="AF476" t="n">
        <v>2</v>
      </c>
      <c r="AG476" t="n">
        <v>2</v>
      </c>
      <c r="AH476" t="n">
        <v>2</v>
      </c>
      <c r="AI476" t="n">
        <v>2</v>
      </c>
      <c r="AJ476" t="n">
        <v>7</v>
      </c>
      <c r="AK476" t="n">
        <v>7</v>
      </c>
      <c r="AL476" t="n">
        <v>0</v>
      </c>
      <c r="AM476" t="n">
        <v>0</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HYPERLINK("https://creighton-primo.hosted.exlibrisgroup.com/primo-explore/search?tab=default_tab&amp;search_scope=EVERYTHING&amp;vid=01CRU&amp;lang=en_US&amp;offset=0&amp;query=any,contains,991004381349702656","Catalog Record")</f>
        <v/>
      </c>
      <c r="AT476">
        <f>HYPERLINK("http://www.worldcat.org/oclc/56140579","WorldCat Record")</f>
        <v/>
      </c>
      <c r="AU476" t="inlineStr">
        <is>
          <t>16654882:eng</t>
        </is>
      </c>
      <c r="AV476" t="inlineStr">
        <is>
          <t>56140579</t>
        </is>
      </c>
      <c r="AW476" t="inlineStr">
        <is>
          <t>991004381349702656</t>
        </is>
      </c>
      <c r="AX476" t="inlineStr">
        <is>
          <t>991004381349702656</t>
        </is>
      </c>
      <c r="AY476" t="inlineStr">
        <is>
          <t>2268852380002656</t>
        </is>
      </c>
      <c r="AZ476" t="inlineStr">
        <is>
          <t>BOOK</t>
        </is>
      </c>
      <c r="BB476" t="inlineStr">
        <is>
          <t>9781574556223</t>
        </is>
      </c>
      <c r="BC476" t="inlineStr">
        <is>
          <t>32285004982517</t>
        </is>
      </c>
      <c r="BD476" t="inlineStr">
        <is>
          <t>893882411</t>
        </is>
      </c>
    </row>
    <row r="477">
      <c r="A477" t="inlineStr">
        <is>
          <t>No</t>
        </is>
      </c>
      <c r="B477" t="inlineStr">
        <is>
          <t>BV4319 .C538 1993</t>
        </is>
      </c>
      <c r="C477" t="inlineStr">
        <is>
          <t>0                      BV 4319000C  538         1993</t>
        </is>
      </c>
      <c r="D477" t="inlineStr">
        <is>
          <t>Communication and Lonergan : common ground for forging the New Age / edited by Thomas J. Farrell and Paul A. Soukup.</t>
        </is>
      </c>
      <c r="F477" t="inlineStr">
        <is>
          <t>No</t>
        </is>
      </c>
      <c r="G477" t="inlineStr">
        <is>
          <t>1</t>
        </is>
      </c>
      <c r="H477" t="inlineStr">
        <is>
          <t>No</t>
        </is>
      </c>
      <c r="I477" t="inlineStr">
        <is>
          <t>No</t>
        </is>
      </c>
      <c r="J477" t="inlineStr">
        <is>
          <t>0</t>
        </is>
      </c>
      <c r="L477" t="inlineStr">
        <is>
          <t>Kansas City, MO : Sheed &amp; Ward, c1993.</t>
        </is>
      </c>
      <c r="M477" t="inlineStr">
        <is>
          <t>1993</t>
        </is>
      </c>
      <c r="O477" t="inlineStr">
        <is>
          <t>eng</t>
        </is>
      </c>
      <c r="P477" t="inlineStr">
        <is>
          <t>mou</t>
        </is>
      </c>
      <c r="Q477" t="inlineStr">
        <is>
          <t>Communication, culture &amp; theology</t>
        </is>
      </c>
      <c r="R477" t="inlineStr">
        <is>
          <t xml:space="preserve">BV </t>
        </is>
      </c>
      <c r="S477" t="n">
        <v>2</v>
      </c>
      <c r="T477" t="n">
        <v>2</v>
      </c>
      <c r="U477" t="inlineStr">
        <is>
          <t>2008-06-11</t>
        </is>
      </c>
      <c r="V477" t="inlineStr">
        <is>
          <t>2008-06-11</t>
        </is>
      </c>
      <c r="W477" t="inlineStr">
        <is>
          <t>1994-08-22</t>
        </is>
      </c>
      <c r="X477" t="inlineStr">
        <is>
          <t>1994-08-22</t>
        </is>
      </c>
      <c r="Y477" t="n">
        <v>161</v>
      </c>
      <c r="Z477" t="n">
        <v>128</v>
      </c>
      <c r="AA477" t="n">
        <v>128</v>
      </c>
      <c r="AB477" t="n">
        <v>1</v>
      </c>
      <c r="AC477" t="n">
        <v>1</v>
      </c>
      <c r="AD477" t="n">
        <v>20</v>
      </c>
      <c r="AE477" t="n">
        <v>20</v>
      </c>
      <c r="AF477" t="n">
        <v>8</v>
      </c>
      <c r="AG477" t="n">
        <v>8</v>
      </c>
      <c r="AH477" t="n">
        <v>3</v>
      </c>
      <c r="AI477" t="n">
        <v>3</v>
      </c>
      <c r="AJ477" t="n">
        <v>17</v>
      </c>
      <c r="AK477" t="n">
        <v>17</v>
      </c>
      <c r="AL477" t="n">
        <v>0</v>
      </c>
      <c r="AM477" t="n">
        <v>0</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HYPERLINK("https://creighton-primo.hosted.exlibrisgroup.com/primo-explore/search?tab=default_tab&amp;search_scope=EVERYTHING&amp;vid=01CRU&amp;lang=en_US&amp;offset=0&amp;query=any,contains,991002246179702656","Catalog Record")</f>
        <v/>
      </c>
      <c r="AT477">
        <f>HYPERLINK("http://www.worldcat.org/oclc/28965321","WorldCat Record")</f>
        <v/>
      </c>
      <c r="AU477" t="inlineStr">
        <is>
          <t>31104228:eng</t>
        </is>
      </c>
      <c r="AV477" t="inlineStr">
        <is>
          <t>28965321</t>
        </is>
      </c>
      <c r="AW477" t="inlineStr">
        <is>
          <t>991002246179702656</t>
        </is>
      </c>
      <c r="AX477" t="inlineStr">
        <is>
          <t>991002246179702656</t>
        </is>
      </c>
      <c r="AY477" t="inlineStr">
        <is>
          <t>2256680920002656</t>
        </is>
      </c>
      <c r="AZ477" t="inlineStr">
        <is>
          <t>BOOK</t>
        </is>
      </c>
      <c r="BB477" t="inlineStr">
        <is>
          <t>9781556126239</t>
        </is>
      </c>
      <c r="BC477" t="inlineStr">
        <is>
          <t>32285001943637</t>
        </is>
      </c>
      <c r="BD477" t="inlineStr">
        <is>
          <t>893250986</t>
        </is>
      </c>
    </row>
    <row r="478">
      <c r="A478" t="inlineStr">
        <is>
          <t>No</t>
        </is>
      </c>
      <c r="B478" t="inlineStr">
        <is>
          <t>BV4319 .F47 1986</t>
        </is>
      </c>
      <c r="C478" t="inlineStr">
        <is>
          <t>0                      BV 4319000F  47          1986</t>
        </is>
      </c>
      <c r="D478" t="inlineStr">
        <is>
          <t>Words made flesh : scripture, psychology &amp; human communication / Fran Ferder.</t>
        </is>
      </c>
      <c r="F478" t="inlineStr">
        <is>
          <t>No</t>
        </is>
      </c>
      <c r="G478" t="inlineStr">
        <is>
          <t>1</t>
        </is>
      </c>
      <c r="H478" t="inlineStr">
        <is>
          <t>No</t>
        </is>
      </c>
      <c r="I478" t="inlineStr">
        <is>
          <t>No</t>
        </is>
      </c>
      <c r="J478" t="inlineStr">
        <is>
          <t>0</t>
        </is>
      </c>
      <c r="K478" t="inlineStr">
        <is>
          <t>Ferder, Fran.</t>
        </is>
      </c>
      <c r="L478" t="inlineStr">
        <is>
          <t>Notre Dame, Ind. : Ave Maria Press, c1986.</t>
        </is>
      </c>
      <c r="M478" t="inlineStr">
        <is>
          <t>1986</t>
        </is>
      </c>
      <c r="O478" t="inlineStr">
        <is>
          <t>eng</t>
        </is>
      </c>
      <c r="P478" t="inlineStr">
        <is>
          <t>inu</t>
        </is>
      </c>
      <c r="R478" t="inlineStr">
        <is>
          <t xml:space="preserve">BV </t>
        </is>
      </c>
      <c r="S478" t="n">
        <v>1</v>
      </c>
      <c r="T478" t="n">
        <v>1</v>
      </c>
      <c r="U478" t="inlineStr">
        <is>
          <t>2008-12-02</t>
        </is>
      </c>
      <c r="V478" t="inlineStr">
        <is>
          <t>2008-12-02</t>
        </is>
      </c>
      <c r="W478" t="inlineStr">
        <is>
          <t>2008-12-02</t>
        </is>
      </c>
      <c r="X478" t="inlineStr">
        <is>
          <t>2008-12-02</t>
        </is>
      </c>
      <c r="Y478" t="n">
        <v>219</v>
      </c>
      <c r="Z478" t="n">
        <v>180</v>
      </c>
      <c r="AA478" t="n">
        <v>186</v>
      </c>
      <c r="AB478" t="n">
        <v>3</v>
      </c>
      <c r="AC478" t="n">
        <v>3</v>
      </c>
      <c r="AD478" t="n">
        <v>13</v>
      </c>
      <c r="AE478" t="n">
        <v>13</v>
      </c>
      <c r="AF478" t="n">
        <v>3</v>
      </c>
      <c r="AG478" t="n">
        <v>3</v>
      </c>
      <c r="AH478" t="n">
        <v>2</v>
      </c>
      <c r="AI478" t="n">
        <v>2</v>
      </c>
      <c r="AJ478" t="n">
        <v>10</v>
      </c>
      <c r="AK478" t="n">
        <v>10</v>
      </c>
      <c r="AL478" t="n">
        <v>1</v>
      </c>
      <c r="AM478" t="n">
        <v>1</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HYPERLINK("https://creighton-primo.hosted.exlibrisgroup.com/primo-explore/search?tab=default_tab&amp;search_scope=EVERYTHING&amp;vid=01CRU&amp;lang=en_US&amp;offset=0&amp;query=any,contains,991005279069702656","Catalog Record")</f>
        <v/>
      </c>
      <c r="AT478">
        <f>HYPERLINK("http://www.worldcat.org/oclc/13127399","WorldCat Record")</f>
        <v/>
      </c>
      <c r="AU478" t="inlineStr">
        <is>
          <t>5721455:eng</t>
        </is>
      </c>
      <c r="AV478" t="inlineStr">
        <is>
          <t>13127399</t>
        </is>
      </c>
      <c r="AW478" t="inlineStr">
        <is>
          <t>991005279069702656</t>
        </is>
      </c>
      <c r="AX478" t="inlineStr">
        <is>
          <t>991005279069702656</t>
        </is>
      </c>
      <c r="AY478" t="inlineStr">
        <is>
          <t>2256354860002656</t>
        </is>
      </c>
      <c r="AZ478" t="inlineStr">
        <is>
          <t>BOOK</t>
        </is>
      </c>
      <c r="BB478" t="inlineStr">
        <is>
          <t>9780877933304</t>
        </is>
      </c>
      <c r="BC478" t="inlineStr">
        <is>
          <t>32285005461495</t>
        </is>
      </c>
      <c r="BD478" t="inlineStr">
        <is>
          <t>893501627</t>
        </is>
      </c>
    </row>
    <row r="479">
      <c r="A479" t="inlineStr">
        <is>
          <t>No</t>
        </is>
      </c>
      <c r="B479" t="inlineStr">
        <is>
          <t>BV4319 .F55 1985</t>
        </is>
      </c>
      <c r="C479" t="inlineStr">
        <is>
          <t>0                      BV 4319000F  55          1985</t>
        </is>
      </c>
      <c r="D479" t="inlineStr">
        <is>
          <t>Social context and proclamation : a socio-cognitive study in proclaiming the Gospel cross-culturally / David Filbeck.</t>
        </is>
      </c>
      <c r="F479" t="inlineStr">
        <is>
          <t>No</t>
        </is>
      </c>
      <c r="G479" t="inlineStr">
        <is>
          <t>1</t>
        </is>
      </c>
      <c r="H479" t="inlineStr">
        <is>
          <t>No</t>
        </is>
      </c>
      <c r="I479" t="inlineStr">
        <is>
          <t>No</t>
        </is>
      </c>
      <c r="J479" t="inlineStr">
        <is>
          <t>0</t>
        </is>
      </c>
      <c r="K479" t="inlineStr">
        <is>
          <t>Filbeck, David.</t>
        </is>
      </c>
      <c r="L479" t="inlineStr">
        <is>
          <t>Pasadena, Calif. : W. Carey Library, c1985.</t>
        </is>
      </c>
      <c r="M479" t="inlineStr">
        <is>
          <t>1985</t>
        </is>
      </c>
      <c r="O479" t="inlineStr">
        <is>
          <t>eng</t>
        </is>
      </c>
      <c r="P479" t="inlineStr">
        <is>
          <t>cau</t>
        </is>
      </c>
      <c r="R479" t="inlineStr">
        <is>
          <t xml:space="preserve">BV </t>
        </is>
      </c>
      <c r="S479" t="n">
        <v>2</v>
      </c>
      <c r="T479" t="n">
        <v>2</v>
      </c>
      <c r="U479" t="inlineStr">
        <is>
          <t>1995-05-10</t>
        </is>
      </c>
      <c r="V479" t="inlineStr">
        <is>
          <t>1995-05-10</t>
        </is>
      </c>
      <c r="W479" t="inlineStr">
        <is>
          <t>1991-12-06</t>
        </is>
      </c>
      <c r="X479" t="inlineStr">
        <is>
          <t>1991-12-06</t>
        </is>
      </c>
      <c r="Y479" t="n">
        <v>197</v>
      </c>
      <c r="Z479" t="n">
        <v>165</v>
      </c>
      <c r="AA479" t="n">
        <v>165</v>
      </c>
      <c r="AB479" t="n">
        <v>3</v>
      </c>
      <c r="AC479" t="n">
        <v>3</v>
      </c>
      <c r="AD479" t="n">
        <v>4</v>
      </c>
      <c r="AE479" t="n">
        <v>4</v>
      </c>
      <c r="AF479" t="n">
        <v>1</v>
      </c>
      <c r="AG479" t="n">
        <v>1</v>
      </c>
      <c r="AH479" t="n">
        <v>0</v>
      </c>
      <c r="AI479" t="n">
        <v>0</v>
      </c>
      <c r="AJ479" t="n">
        <v>3</v>
      </c>
      <c r="AK479" t="n">
        <v>3</v>
      </c>
      <c r="AL479" t="n">
        <v>1</v>
      </c>
      <c r="AM479" t="n">
        <v>1</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HYPERLINK("https://creighton-primo.hosted.exlibrisgroup.com/primo-explore/search?tab=default_tab&amp;search_scope=EVERYTHING&amp;vid=01CRU&amp;lang=en_US&amp;offset=0&amp;query=any,contains,991000549789702656","Catalog Record")</f>
        <v/>
      </c>
      <c r="AT479">
        <f>HYPERLINK("http://www.worldcat.org/oclc/11532541","WorldCat Record")</f>
        <v/>
      </c>
      <c r="AU479" t="inlineStr">
        <is>
          <t>373987803:eng</t>
        </is>
      </c>
      <c r="AV479" t="inlineStr">
        <is>
          <t>11532541</t>
        </is>
      </c>
      <c r="AW479" t="inlineStr">
        <is>
          <t>991000549789702656</t>
        </is>
      </c>
      <c r="AX479" t="inlineStr">
        <is>
          <t>991000549789702656</t>
        </is>
      </c>
      <c r="AY479" t="inlineStr">
        <is>
          <t>2261285560002656</t>
        </is>
      </c>
      <c r="AZ479" t="inlineStr">
        <is>
          <t>BOOK</t>
        </is>
      </c>
      <c r="BB479" t="inlineStr">
        <is>
          <t>9780878081998</t>
        </is>
      </c>
      <c r="BC479" t="inlineStr">
        <is>
          <t>32285000837673</t>
        </is>
      </c>
      <c r="BD479" t="inlineStr">
        <is>
          <t>893528148</t>
        </is>
      </c>
    </row>
    <row r="480">
      <c r="A480" t="inlineStr">
        <is>
          <t>No</t>
        </is>
      </c>
      <c r="B480" t="inlineStr">
        <is>
          <t>BV4330 .D4</t>
        </is>
      </c>
      <c r="C480" t="inlineStr">
        <is>
          <t>0                      BV 4330000D  4</t>
        </is>
      </c>
      <c r="D480" t="inlineStr">
        <is>
          <t>Death and ministry : pastoral care of the dying and the bereaved / J. Donald Bane ... [et al.] editors.</t>
        </is>
      </c>
      <c r="F480" t="inlineStr">
        <is>
          <t>No</t>
        </is>
      </c>
      <c r="G480" t="inlineStr">
        <is>
          <t>1</t>
        </is>
      </c>
      <c r="H480" t="inlineStr">
        <is>
          <t>No</t>
        </is>
      </c>
      <c r="I480" t="inlineStr">
        <is>
          <t>No</t>
        </is>
      </c>
      <c r="J480" t="inlineStr">
        <is>
          <t>0</t>
        </is>
      </c>
      <c r="L480" t="inlineStr">
        <is>
          <t>New York : Seabury Press, [1975]</t>
        </is>
      </c>
      <c r="M480" t="inlineStr">
        <is>
          <t>1975</t>
        </is>
      </c>
      <c r="O480" t="inlineStr">
        <is>
          <t>eng</t>
        </is>
      </c>
      <c r="P480" t="inlineStr">
        <is>
          <t>nyu</t>
        </is>
      </c>
      <c r="R480" t="inlineStr">
        <is>
          <t xml:space="preserve">BV </t>
        </is>
      </c>
      <c r="S480" t="n">
        <v>4</v>
      </c>
      <c r="T480" t="n">
        <v>4</v>
      </c>
      <c r="U480" t="inlineStr">
        <is>
          <t>1994-12-28</t>
        </is>
      </c>
      <c r="V480" t="inlineStr">
        <is>
          <t>1994-12-28</t>
        </is>
      </c>
      <c r="W480" t="inlineStr">
        <is>
          <t>1992-02-21</t>
        </is>
      </c>
      <c r="X480" t="inlineStr">
        <is>
          <t>1992-02-21</t>
        </is>
      </c>
      <c r="Y480" t="n">
        <v>446</v>
      </c>
      <c r="Z480" t="n">
        <v>401</v>
      </c>
      <c r="AA480" t="n">
        <v>408</v>
      </c>
      <c r="AB480" t="n">
        <v>5</v>
      </c>
      <c r="AC480" t="n">
        <v>5</v>
      </c>
      <c r="AD480" t="n">
        <v>24</v>
      </c>
      <c r="AE480" t="n">
        <v>24</v>
      </c>
      <c r="AF480" t="n">
        <v>9</v>
      </c>
      <c r="AG480" t="n">
        <v>9</v>
      </c>
      <c r="AH480" t="n">
        <v>5</v>
      </c>
      <c r="AI480" t="n">
        <v>5</v>
      </c>
      <c r="AJ480" t="n">
        <v>13</v>
      </c>
      <c r="AK480" t="n">
        <v>13</v>
      </c>
      <c r="AL480" t="n">
        <v>3</v>
      </c>
      <c r="AM480" t="n">
        <v>3</v>
      </c>
      <c r="AN480" t="n">
        <v>0</v>
      </c>
      <c r="AO480" t="n">
        <v>0</v>
      </c>
      <c r="AP480" t="inlineStr">
        <is>
          <t>No</t>
        </is>
      </c>
      <c r="AQ480" t="inlineStr">
        <is>
          <t>Yes</t>
        </is>
      </c>
      <c r="AR480">
        <f>HYPERLINK("http://catalog.hathitrust.org/Record/000042613","HathiTrust Record")</f>
        <v/>
      </c>
      <c r="AS480">
        <f>HYPERLINK("https://creighton-primo.hosted.exlibrisgroup.com/primo-explore/search?tab=default_tab&amp;search_scope=EVERYTHING&amp;vid=01CRU&amp;lang=en_US&amp;offset=0&amp;query=any,contains,991003718359702656","Catalog Record")</f>
        <v/>
      </c>
      <c r="AT480">
        <f>HYPERLINK("http://www.worldcat.org/oclc/1364006","WorldCat Record")</f>
        <v/>
      </c>
      <c r="AU480" t="inlineStr">
        <is>
          <t>2269142:eng</t>
        </is>
      </c>
      <c r="AV480" t="inlineStr">
        <is>
          <t>1364006</t>
        </is>
      </c>
      <c r="AW480" t="inlineStr">
        <is>
          <t>991003718359702656</t>
        </is>
      </c>
      <c r="AX480" t="inlineStr">
        <is>
          <t>991003718359702656</t>
        </is>
      </c>
      <c r="AY480" t="inlineStr">
        <is>
          <t>2255592790002656</t>
        </is>
      </c>
      <c r="AZ480" t="inlineStr">
        <is>
          <t>BOOK</t>
        </is>
      </c>
      <c r="BB480" t="inlineStr">
        <is>
          <t>9780816402601</t>
        </is>
      </c>
      <c r="BC480" t="inlineStr">
        <is>
          <t>32285000965789</t>
        </is>
      </c>
      <c r="BD480" t="inlineStr">
        <is>
          <t>893800064</t>
        </is>
      </c>
    </row>
    <row r="481">
      <c r="A481" t="inlineStr">
        <is>
          <t>No</t>
        </is>
      </c>
      <c r="B481" t="inlineStr">
        <is>
          <t>BV4330 .R68 1999</t>
        </is>
      </c>
      <c r="C481" t="inlineStr">
        <is>
          <t>0                      BV 4330000R  68          1999</t>
        </is>
      </c>
      <c r="D481" t="inlineStr">
        <is>
          <t>Dealing with grief, theirs and ours / Jeroid O'Neil Roussell, Jr.</t>
        </is>
      </c>
      <c r="F481" t="inlineStr">
        <is>
          <t>No</t>
        </is>
      </c>
      <c r="G481" t="inlineStr">
        <is>
          <t>1</t>
        </is>
      </c>
      <c r="H481" t="inlineStr">
        <is>
          <t>No</t>
        </is>
      </c>
      <c r="I481" t="inlineStr">
        <is>
          <t>No</t>
        </is>
      </c>
      <c r="J481" t="inlineStr">
        <is>
          <t>0</t>
        </is>
      </c>
      <c r="K481" t="inlineStr">
        <is>
          <t>Roussell, Jeroid O'Neil.</t>
        </is>
      </c>
      <c r="L481" t="inlineStr">
        <is>
          <t>New York : Alba House, c1999.</t>
        </is>
      </c>
      <c r="M481" t="inlineStr">
        <is>
          <t>1999</t>
        </is>
      </c>
      <c r="O481" t="inlineStr">
        <is>
          <t>eng</t>
        </is>
      </c>
      <c r="P481" t="inlineStr">
        <is>
          <t>nyu</t>
        </is>
      </c>
      <c r="R481" t="inlineStr">
        <is>
          <t xml:space="preserve">BV </t>
        </is>
      </c>
      <c r="S481" t="n">
        <v>4</v>
      </c>
      <c r="T481" t="n">
        <v>4</v>
      </c>
      <c r="U481" t="inlineStr">
        <is>
          <t>2003-12-18</t>
        </is>
      </c>
      <c r="V481" t="inlineStr">
        <is>
          <t>2003-12-18</t>
        </is>
      </c>
      <c r="W481" t="inlineStr">
        <is>
          <t>2000-10-03</t>
        </is>
      </c>
      <c r="X481" t="inlineStr">
        <is>
          <t>2000-10-03</t>
        </is>
      </c>
      <c r="Y481" t="n">
        <v>37</v>
      </c>
      <c r="Z481" t="n">
        <v>34</v>
      </c>
      <c r="AA481" t="n">
        <v>34</v>
      </c>
      <c r="AB481" t="n">
        <v>2</v>
      </c>
      <c r="AC481" t="n">
        <v>2</v>
      </c>
      <c r="AD481" t="n">
        <v>4</v>
      </c>
      <c r="AE481" t="n">
        <v>4</v>
      </c>
      <c r="AF481" t="n">
        <v>1</v>
      </c>
      <c r="AG481" t="n">
        <v>1</v>
      </c>
      <c r="AH481" t="n">
        <v>1</v>
      </c>
      <c r="AI481" t="n">
        <v>1</v>
      </c>
      <c r="AJ481" t="n">
        <v>3</v>
      </c>
      <c r="AK481" t="n">
        <v>3</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HYPERLINK("https://creighton-primo.hosted.exlibrisgroup.com/primo-explore/search?tab=default_tab&amp;search_scope=EVERYTHING&amp;vid=01CRU&amp;lang=en_US&amp;offset=0&amp;query=any,contains,991003222229702656","Catalog Record")</f>
        <v/>
      </c>
      <c r="AT481">
        <f>HYPERLINK("http://www.worldcat.org/oclc/40744410","WorldCat Record")</f>
        <v/>
      </c>
      <c r="AU481" t="inlineStr">
        <is>
          <t>26257560:eng</t>
        </is>
      </c>
      <c r="AV481" t="inlineStr">
        <is>
          <t>40744410</t>
        </is>
      </c>
      <c r="AW481" t="inlineStr">
        <is>
          <t>991003222229702656</t>
        </is>
      </c>
      <c r="AX481" t="inlineStr">
        <is>
          <t>991003222229702656</t>
        </is>
      </c>
      <c r="AY481" t="inlineStr">
        <is>
          <t>2263661800002656</t>
        </is>
      </c>
      <c r="AZ481" t="inlineStr">
        <is>
          <t>BOOK</t>
        </is>
      </c>
      <c r="BB481" t="inlineStr">
        <is>
          <t>9780818908231</t>
        </is>
      </c>
      <c r="BC481" t="inlineStr">
        <is>
          <t>32285003766150</t>
        </is>
      </c>
      <c r="BD481" t="inlineStr">
        <is>
          <t>893530958</t>
        </is>
      </c>
    </row>
    <row r="482">
      <c r="A482" t="inlineStr">
        <is>
          <t>No</t>
        </is>
      </c>
      <c r="B482" t="inlineStr">
        <is>
          <t>BV4335 .H678 1985</t>
        </is>
      </c>
      <c r="C482" t="inlineStr">
        <is>
          <t>0                      BV 4335000H  678         1985</t>
        </is>
      </c>
      <c r="D482" t="inlineStr">
        <is>
          <t>Hospital ministry : the role of the chaplain today / edited by Lawrence E. Holst.</t>
        </is>
      </c>
      <c r="F482" t="inlineStr">
        <is>
          <t>No</t>
        </is>
      </c>
      <c r="G482" t="inlineStr">
        <is>
          <t>1</t>
        </is>
      </c>
      <c r="H482" t="inlineStr">
        <is>
          <t>No</t>
        </is>
      </c>
      <c r="I482" t="inlineStr">
        <is>
          <t>No</t>
        </is>
      </c>
      <c r="J482" t="inlineStr">
        <is>
          <t>0</t>
        </is>
      </c>
      <c r="L482" t="inlineStr">
        <is>
          <t>New York : Crossroad, 1985.</t>
        </is>
      </c>
      <c r="M482" t="inlineStr">
        <is>
          <t>1985</t>
        </is>
      </c>
      <c r="O482" t="inlineStr">
        <is>
          <t>eng</t>
        </is>
      </c>
      <c r="P482" t="inlineStr">
        <is>
          <t>nyu</t>
        </is>
      </c>
      <c r="R482" t="inlineStr">
        <is>
          <t xml:space="preserve">BV </t>
        </is>
      </c>
      <c r="S482" t="n">
        <v>0</v>
      </c>
      <c r="T482" t="n">
        <v>0</v>
      </c>
      <c r="U482" t="inlineStr">
        <is>
          <t>2006-03-28</t>
        </is>
      </c>
      <c r="V482" t="inlineStr">
        <is>
          <t>2006-03-28</t>
        </is>
      </c>
      <c r="W482" t="inlineStr">
        <is>
          <t>1991-12-12</t>
        </is>
      </c>
      <c r="X482" t="inlineStr">
        <is>
          <t>1991-12-12</t>
        </is>
      </c>
      <c r="Y482" t="n">
        <v>329</v>
      </c>
      <c r="Z482" t="n">
        <v>286</v>
      </c>
      <c r="AA482" t="n">
        <v>334</v>
      </c>
      <c r="AB482" t="n">
        <v>5</v>
      </c>
      <c r="AC482" t="n">
        <v>5</v>
      </c>
      <c r="AD482" t="n">
        <v>18</v>
      </c>
      <c r="AE482" t="n">
        <v>18</v>
      </c>
      <c r="AF482" t="n">
        <v>8</v>
      </c>
      <c r="AG482" t="n">
        <v>8</v>
      </c>
      <c r="AH482" t="n">
        <v>2</v>
      </c>
      <c r="AI482" t="n">
        <v>2</v>
      </c>
      <c r="AJ482" t="n">
        <v>10</v>
      </c>
      <c r="AK482" t="n">
        <v>10</v>
      </c>
      <c r="AL482" t="n">
        <v>3</v>
      </c>
      <c r="AM482" t="n">
        <v>3</v>
      </c>
      <c r="AN482" t="n">
        <v>0</v>
      </c>
      <c r="AO482" t="n">
        <v>0</v>
      </c>
      <c r="AP482" t="inlineStr">
        <is>
          <t>No</t>
        </is>
      </c>
      <c r="AQ482" t="inlineStr">
        <is>
          <t>Yes</t>
        </is>
      </c>
      <c r="AR482">
        <f>HYPERLINK("http://catalog.hathitrust.org/Record/000624473","HathiTrust Record")</f>
        <v/>
      </c>
      <c r="AS482">
        <f>HYPERLINK("https://creighton-primo.hosted.exlibrisgroup.com/primo-explore/search?tab=default_tab&amp;search_scope=EVERYTHING&amp;vid=01CRU&amp;lang=en_US&amp;offset=0&amp;query=any,contains,991000595769702656","Catalog Record")</f>
        <v/>
      </c>
      <c r="AT482">
        <f>HYPERLINK("http://www.worldcat.org/oclc/11812681","WorldCat Record")</f>
        <v/>
      </c>
      <c r="AU482" t="inlineStr">
        <is>
          <t>54697776:eng</t>
        </is>
      </c>
      <c r="AV482" t="inlineStr">
        <is>
          <t>11812681</t>
        </is>
      </c>
      <c r="AW482" t="inlineStr">
        <is>
          <t>991000595769702656</t>
        </is>
      </c>
      <c r="AX482" t="inlineStr">
        <is>
          <t>991000595769702656</t>
        </is>
      </c>
      <c r="AY482" t="inlineStr">
        <is>
          <t>2260024820002656</t>
        </is>
      </c>
      <c r="AZ482" t="inlineStr">
        <is>
          <t>BOOK</t>
        </is>
      </c>
      <c r="BB482" t="inlineStr">
        <is>
          <t>9780824506971</t>
        </is>
      </c>
      <c r="BC482" t="inlineStr">
        <is>
          <t>32285000887165</t>
        </is>
      </c>
      <c r="BD482" t="inlineStr">
        <is>
          <t>893315082</t>
        </is>
      </c>
    </row>
    <row r="483">
      <c r="A483" t="inlineStr">
        <is>
          <t>No</t>
        </is>
      </c>
      <c r="B483" t="inlineStr">
        <is>
          <t>BV4335.C32 A7</t>
        </is>
      </c>
      <c r="C483" t="inlineStr">
        <is>
          <t>0                      BV 4335000C  32                 A  7</t>
        </is>
      </c>
      <c r="D483" t="inlineStr">
        <is>
          <t>The art of ministering to the sick / by Richard C. Cabot, M.D. and Russell L. Dicks, B.D.</t>
        </is>
      </c>
      <c r="F483" t="inlineStr">
        <is>
          <t>No</t>
        </is>
      </c>
      <c r="G483" t="inlineStr">
        <is>
          <t>1</t>
        </is>
      </c>
      <c r="H483" t="inlineStr">
        <is>
          <t>No</t>
        </is>
      </c>
      <c r="I483" t="inlineStr">
        <is>
          <t>No</t>
        </is>
      </c>
      <c r="J483" t="inlineStr">
        <is>
          <t>0</t>
        </is>
      </c>
      <c r="K483" t="inlineStr">
        <is>
          <t>Cabot, Richard C. (Richard Clarke), 1868-1939.</t>
        </is>
      </c>
      <c r="L483" t="inlineStr">
        <is>
          <t>New York : The Macmillan Company, c1936, 1944 printing.</t>
        </is>
      </c>
      <c r="M483" t="inlineStr">
        <is>
          <t>1936</t>
        </is>
      </c>
      <c r="O483" t="inlineStr">
        <is>
          <t>eng</t>
        </is>
      </c>
      <c r="P483" t="inlineStr">
        <is>
          <t>nyu</t>
        </is>
      </c>
      <c r="R483" t="inlineStr">
        <is>
          <t xml:space="preserve">BV </t>
        </is>
      </c>
      <c r="S483" t="n">
        <v>3</v>
      </c>
      <c r="T483" t="n">
        <v>3</v>
      </c>
      <c r="U483" t="inlineStr">
        <is>
          <t>2003-12-18</t>
        </is>
      </c>
      <c r="V483" t="inlineStr">
        <is>
          <t>2003-12-18</t>
        </is>
      </c>
      <c r="W483" t="inlineStr">
        <is>
          <t>1992-02-21</t>
        </is>
      </c>
      <c r="X483" t="inlineStr">
        <is>
          <t>1992-02-21</t>
        </is>
      </c>
      <c r="Y483" t="n">
        <v>424</v>
      </c>
      <c r="Z483" t="n">
        <v>385</v>
      </c>
      <c r="AA483" t="n">
        <v>456</v>
      </c>
      <c r="AB483" t="n">
        <v>4</v>
      </c>
      <c r="AC483" t="n">
        <v>4</v>
      </c>
      <c r="AD483" t="n">
        <v>16</v>
      </c>
      <c r="AE483" t="n">
        <v>17</v>
      </c>
      <c r="AF483" t="n">
        <v>4</v>
      </c>
      <c r="AG483" t="n">
        <v>5</v>
      </c>
      <c r="AH483" t="n">
        <v>3</v>
      </c>
      <c r="AI483" t="n">
        <v>3</v>
      </c>
      <c r="AJ483" t="n">
        <v>8</v>
      </c>
      <c r="AK483" t="n">
        <v>8</v>
      </c>
      <c r="AL483" t="n">
        <v>3</v>
      </c>
      <c r="AM483" t="n">
        <v>3</v>
      </c>
      <c r="AN483" t="n">
        <v>0</v>
      </c>
      <c r="AO483" t="n">
        <v>0</v>
      </c>
      <c r="AP483" t="inlineStr">
        <is>
          <t>No</t>
        </is>
      </c>
      <c r="AQ483" t="inlineStr">
        <is>
          <t>Yes</t>
        </is>
      </c>
      <c r="AR483">
        <f>HYPERLINK("http://catalog.hathitrust.org/Record/005779399","HathiTrust Record")</f>
        <v/>
      </c>
      <c r="AS483">
        <f>HYPERLINK("https://creighton-primo.hosted.exlibrisgroup.com/primo-explore/search?tab=default_tab&amp;search_scope=EVERYTHING&amp;vid=01CRU&amp;lang=en_US&amp;offset=0&amp;query=any,contains,991003294749702656","Catalog Record")</f>
        <v/>
      </c>
      <c r="AT483">
        <f>HYPERLINK("http://www.worldcat.org/oclc/817107","WorldCat Record")</f>
        <v/>
      </c>
      <c r="AU483" t="inlineStr">
        <is>
          <t>1681145:eng</t>
        </is>
      </c>
      <c r="AV483" t="inlineStr">
        <is>
          <t>817107</t>
        </is>
      </c>
      <c r="AW483" t="inlineStr">
        <is>
          <t>991003294749702656</t>
        </is>
      </c>
      <c r="AX483" t="inlineStr">
        <is>
          <t>991003294749702656</t>
        </is>
      </c>
      <c r="AY483" t="inlineStr">
        <is>
          <t>2269825750002656</t>
        </is>
      </c>
      <c r="AZ483" t="inlineStr">
        <is>
          <t>BOOK</t>
        </is>
      </c>
      <c r="BC483" t="inlineStr">
        <is>
          <t>32285000965797</t>
        </is>
      </c>
      <c r="BD483" t="inlineStr">
        <is>
          <t>893336344</t>
        </is>
      </c>
    </row>
    <row r="484">
      <c r="A484" t="inlineStr">
        <is>
          <t>No</t>
        </is>
      </c>
      <c r="B484" t="inlineStr">
        <is>
          <t>BV4376 .W45 2005</t>
        </is>
      </c>
      <c r="C484" t="inlineStr">
        <is>
          <t>0                      BV 4376000W  45          2005</t>
        </is>
      </c>
      <c r="D484" t="inlineStr">
        <is>
          <t>The college chaplain : a practical guide to campus ministry / Stephen L. White.</t>
        </is>
      </c>
      <c r="F484" t="inlineStr">
        <is>
          <t>No</t>
        </is>
      </c>
      <c r="G484" t="inlineStr">
        <is>
          <t>1</t>
        </is>
      </c>
      <c r="H484" t="inlineStr">
        <is>
          <t>No</t>
        </is>
      </c>
      <c r="I484" t="inlineStr">
        <is>
          <t>No</t>
        </is>
      </c>
      <c r="J484" t="inlineStr">
        <is>
          <t>0</t>
        </is>
      </c>
      <c r="K484" t="inlineStr">
        <is>
          <t>White, Stephen L., 1949-</t>
        </is>
      </c>
      <c r="L484" t="inlineStr">
        <is>
          <t>Cleveland : Pilgrim Press, 2005.</t>
        </is>
      </c>
      <c r="M484" t="inlineStr">
        <is>
          <t>2005</t>
        </is>
      </c>
      <c r="O484" t="inlineStr">
        <is>
          <t>eng</t>
        </is>
      </c>
      <c r="P484" t="inlineStr">
        <is>
          <t>ohu</t>
        </is>
      </c>
      <c r="R484" t="inlineStr">
        <is>
          <t xml:space="preserve">BV </t>
        </is>
      </c>
      <c r="S484" t="n">
        <v>1</v>
      </c>
      <c r="T484" t="n">
        <v>1</v>
      </c>
      <c r="U484" t="inlineStr">
        <is>
          <t>2007-02-21</t>
        </is>
      </c>
      <c r="V484" t="inlineStr">
        <is>
          <t>2007-02-21</t>
        </is>
      </c>
      <c r="W484" t="inlineStr">
        <is>
          <t>2007-02-21</t>
        </is>
      </c>
      <c r="X484" t="inlineStr">
        <is>
          <t>2007-02-21</t>
        </is>
      </c>
      <c r="Y484" t="n">
        <v>79</v>
      </c>
      <c r="Z484" t="n">
        <v>65</v>
      </c>
      <c r="AA484" t="n">
        <v>81</v>
      </c>
      <c r="AB484" t="n">
        <v>1</v>
      </c>
      <c r="AC484" t="n">
        <v>2</v>
      </c>
      <c r="AD484" t="n">
        <v>5</v>
      </c>
      <c r="AE484" t="n">
        <v>7</v>
      </c>
      <c r="AF484" t="n">
        <v>2</v>
      </c>
      <c r="AG484" t="n">
        <v>3</v>
      </c>
      <c r="AH484" t="n">
        <v>1</v>
      </c>
      <c r="AI484" t="n">
        <v>2</v>
      </c>
      <c r="AJ484" t="n">
        <v>4</v>
      </c>
      <c r="AK484" t="n">
        <v>4</v>
      </c>
      <c r="AL484" t="n">
        <v>0</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HYPERLINK("https://creighton-primo.hosted.exlibrisgroup.com/primo-explore/search?tab=default_tab&amp;search_scope=EVERYTHING&amp;vid=01CRU&amp;lang=en_US&amp;offset=0&amp;query=any,contains,991005024999702656","Catalog Record")</f>
        <v/>
      </c>
      <c r="AT484">
        <f>HYPERLINK("http://www.worldcat.org/oclc/60500457","WorldCat Record")</f>
        <v/>
      </c>
      <c r="AU484" t="inlineStr">
        <is>
          <t>9994637838:eng</t>
        </is>
      </c>
      <c r="AV484" t="inlineStr">
        <is>
          <t>60500457</t>
        </is>
      </c>
      <c r="AW484" t="inlineStr">
        <is>
          <t>991005024999702656</t>
        </is>
      </c>
      <c r="AX484" t="inlineStr">
        <is>
          <t>991005024999702656</t>
        </is>
      </c>
      <c r="AY484" t="inlineStr">
        <is>
          <t>2267789720002656</t>
        </is>
      </c>
      <c r="AZ484" t="inlineStr">
        <is>
          <t>BOOK</t>
        </is>
      </c>
      <c r="BB484" t="inlineStr">
        <is>
          <t>9780829816778</t>
        </is>
      </c>
      <c r="BC484" t="inlineStr">
        <is>
          <t>32285005300834</t>
        </is>
      </c>
      <c r="BD484" t="inlineStr">
        <is>
          <t>893248228</t>
        </is>
      </c>
    </row>
    <row r="485">
      <c r="A485" t="inlineStr">
        <is>
          <t>No</t>
        </is>
      </c>
      <c r="B485" t="inlineStr">
        <is>
          <t>BV4390 .A913 1968</t>
        </is>
      </c>
      <c r="C485" t="inlineStr">
        <is>
          <t>0                      BV 4390000A  913         1968</t>
        </is>
      </c>
      <c r="D485" t="inlineStr">
        <is>
          <t>Structures of Christian priesthood : a study of home, marriage, and celibacy in the pastoral service of the church / Jean-Paul Audet. Translated by Rosemary Sheed.</t>
        </is>
      </c>
      <c r="F485" t="inlineStr">
        <is>
          <t>No</t>
        </is>
      </c>
      <c r="G485" t="inlineStr">
        <is>
          <t>1</t>
        </is>
      </c>
      <c r="H485" t="inlineStr">
        <is>
          <t>No</t>
        </is>
      </c>
      <c r="I485" t="inlineStr">
        <is>
          <t>No</t>
        </is>
      </c>
      <c r="J485" t="inlineStr">
        <is>
          <t>0</t>
        </is>
      </c>
      <c r="K485" t="inlineStr">
        <is>
          <t>Audet, Jean-Paul, 1918-1993.</t>
        </is>
      </c>
      <c r="L485" t="inlineStr">
        <is>
          <t>New York : Macmillan, [1968]</t>
        </is>
      </c>
      <c r="M485" t="inlineStr">
        <is>
          <t>1968</t>
        </is>
      </c>
      <c r="N485" t="inlineStr">
        <is>
          <t>[1st American ed.]</t>
        </is>
      </c>
      <c r="O485" t="inlineStr">
        <is>
          <t>eng</t>
        </is>
      </c>
      <c r="P485" t="inlineStr">
        <is>
          <t>nyu</t>
        </is>
      </c>
      <c r="R485" t="inlineStr">
        <is>
          <t xml:space="preserve">BV </t>
        </is>
      </c>
      <c r="S485" t="n">
        <v>9</v>
      </c>
      <c r="T485" t="n">
        <v>9</v>
      </c>
      <c r="U485" t="inlineStr">
        <is>
          <t>2002-11-25</t>
        </is>
      </c>
      <c r="V485" t="inlineStr">
        <is>
          <t>2002-11-25</t>
        </is>
      </c>
      <c r="W485" t="inlineStr">
        <is>
          <t>1992-02-21</t>
        </is>
      </c>
      <c r="X485" t="inlineStr">
        <is>
          <t>1992-02-21</t>
        </is>
      </c>
      <c r="Y485" t="n">
        <v>266</v>
      </c>
      <c r="Z485" t="n">
        <v>251</v>
      </c>
      <c r="AA485" t="n">
        <v>264</v>
      </c>
      <c r="AB485" t="n">
        <v>4</v>
      </c>
      <c r="AC485" t="n">
        <v>4</v>
      </c>
      <c r="AD485" t="n">
        <v>25</v>
      </c>
      <c r="AE485" t="n">
        <v>27</v>
      </c>
      <c r="AF485" t="n">
        <v>8</v>
      </c>
      <c r="AG485" t="n">
        <v>8</v>
      </c>
      <c r="AH485" t="n">
        <v>7</v>
      </c>
      <c r="AI485" t="n">
        <v>7</v>
      </c>
      <c r="AJ485" t="n">
        <v>15</v>
      </c>
      <c r="AK485" t="n">
        <v>17</v>
      </c>
      <c r="AL485" t="n">
        <v>2</v>
      </c>
      <c r="AM485" t="n">
        <v>2</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HYPERLINK("https://creighton-primo.hosted.exlibrisgroup.com/primo-explore/search?tab=default_tab&amp;search_scope=EVERYTHING&amp;vid=01CRU&amp;lang=en_US&amp;offset=0&amp;query=any,contains,991003368999702656","Catalog Record")</f>
        <v/>
      </c>
      <c r="AT485">
        <f>HYPERLINK("http://www.worldcat.org/oclc/904719","WorldCat Record")</f>
        <v/>
      </c>
      <c r="AU485" t="inlineStr">
        <is>
          <t>56302447:eng</t>
        </is>
      </c>
      <c r="AV485" t="inlineStr">
        <is>
          <t>904719</t>
        </is>
      </c>
      <c r="AW485" t="inlineStr">
        <is>
          <t>991003368999702656</t>
        </is>
      </c>
      <c r="AX485" t="inlineStr">
        <is>
          <t>991003368999702656</t>
        </is>
      </c>
      <c r="AY485" t="inlineStr">
        <is>
          <t>2263688380002656</t>
        </is>
      </c>
      <c r="AZ485" t="inlineStr">
        <is>
          <t>BOOK</t>
        </is>
      </c>
      <c r="BC485" t="inlineStr">
        <is>
          <t>32285000965813</t>
        </is>
      </c>
      <c r="BD485" t="inlineStr">
        <is>
          <t>893617289</t>
        </is>
      </c>
    </row>
    <row r="486">
      <c r="A486" t="inlineStr">
        <is>
          <t>No</t>
        </is>
      </c>
      <c r="B486" t="inlineStr">
        <is>
          <t>BV4390 .G613 1965</t>
        </is>
      </c>
      <c r="C486" t="inlineStr">
        <is>
          <t>0                      BV 4390000G  613         1965</t>
        </is>
      </c>
      <c r="D486" t="inlineStr">
        <is>
          <t>Is celibacy outdated? / [by] Ida Friederike Görres. Translated by Barbara Waldstein-Wartenberg in collaboration with the author.</t>
        </is>
      </c>
      <c r="F486" t="inlineStr">
        <is>
          <t>No</t>
        </is>
      </c>
      <c r="G486" t="inlineStr">
        <is>
          <t>1</t>
        </is>
      </c>
      <c r="H486" t="inlineStr">
        <is>
          <t>No</t>
        </is>
      </c>
      <c r="I486" t="inlineStr">
        <is>
          <t>No</t>
        </is>
      </c>
      <c r="J486" t="inlineStr">
        <is>
          <t>0</t>
        </is>
      </c>
      <c r="K486" t="inlineStr">
        <is>
          <t>Görres, Ida Friederike, 1901-1971.</t>
        </is>
      </c>
      <c r="L486" t="inlineStr">
        <is>
          <t>Westminster, Md. : Newman Press, [1965]</t>
        </is>
      </c>
      <c r="M486" t="inlineStr">
        <is>
          <t>1965</t>
        </is>
      </c>
      <c r="O486" t="inlineStr">
        <is>
          <t>eng</t>
        </is>
      </c>
      <c r="P486" t="inlineStr">
        <is>
          <t>mdu</t>
        </is>
      </c>
      <c r="R486" t="inlineStr">
        <is>
          <t xml:space="preserve">BV </t>
        </is>
      </c>
      <c r="S486" t="n">
        <v>9</v>
      </c>
      <c r="T486" t="n">
        <v>9</v>
      </c>
      <c r="U486" t="inlineStr">
        <is>
          <t>2007-04-04</t>
        </is>
      </c>
      <c r="V486" t="inlineStr">
        <is>
          <t>2007-04-04</t>
        </is>
      </c>
      <c r="W486" t="inlineStr">
        <is>
          <t>1990-05-24</t>
        </is>
      </c>
      <c r="X486" t="inlineStr">
        <is>
          <t>1990-05-24</t>
        </is>
      </c>
      <c r="Y486" t="n">
        <v>106</v>
      </c>
      <c r="Z486" t="n">
        <v>89</v>
      </c>
      <c r="AA486" t="n">
        <v>89</v>
      </c>
      <c r="AB486" t="n">
        <v>1</v>
      </c>
      <c r="AC486" t="n">
        <v>1</v>
      </c>
      <c r="AD486" t="n">
        <v>15</v>
      </c>
      <c r="AE486" t="n">
        <v>15</v>
      </c>
      <c r="AF486" t="n">
        <v>6</v>
      </c>
      <c r="AG486" t="n">
        <v>6</v>
      </c>
      <c r="AH486" t="n">
        <v>4</v>
      </c>
      <c r="AI486" t="n">
        <v>4</v>
      </c>
      <c r="AJ486" t="n">
        <v>10</v>
      </c>
      <c r="AK486" t="n">
        <v>10</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HYPERLINK("https://creighton-primo.hosted.exlibrisgroup.com/primo-explore/search?tab=default_tab&amp;search_scope=EVERYTHING&amp;vid=01CRU&amp;lang=en_US&amp;offset=0&amp;query=any,contains,991004143479702656","Catalog Record")</f>
        <v/>
      </c>
      <c r="AT486">
        <f>HYPERLINK("http://www.worldcat.org/oclc/2504831","WorldCat Record")</f>
        <v/>
      </c>
      <c r="AU486" t="inlineStr">
        <is>
          <t>14796152:eng</t>
        </is>
      </c>
      <c r="AV486" t="inlineStr">
        <is>
          <t>2504831</t>
        </is>
      </c>
      <c r="AW486" t="inlineStr">
        <is>
          <t>991004143479702656</t>
        </is>
      </c>
      <c r="AX486" t="inlineStr">
        <is>
          <t>991004143479702656</t>
        </is>
      </c>
      <c r="AY486" t="inlineStr">
        <is>
          <t>2258642360002656</t>
        </is>
      </c>
      <c r="AZ486" t="inlineStr">
        <is>
          <t>BOOK</t>
        </is>
      </c>
      <c r="BC486" t="inlineStr">
        <is>
          <t>32285000165596</t>
        </is>
      </c>
      <c r="BD486" t="inlineStr">
        <is>
          <t>893775685</t>
        </is>
      </c>
    </row>
    <row r="487">
      <c r="A487" t="inlineStr">
        <is>
          <t>No</t>
        </is>
      </c>
      <c r="B487" t="inlineStr">
        <is>
          <t>BV4395 .M67</t>
        </is>
      </c>
      <c r="C487" t="inlineStr">
        <is>
          <t>0                      BV 4395000M  67</t>
        </is>
      </c>
      <c r="D487" t="inlineStr">
        <is>
          <t>Wives of priests; a study of clergy wives in the Episcopal church / by John H. Morgan and Linda B. Morgan.</t>
        </is>
      </c>
      <c r="F487" t="inlineStr">
        <is>
          <t>No</t>
        </is>
      </c>
      <c r="G487" t="inlineStr">
        <is>
          <t>1</t>
        </is>
      </c>
      <c r="H487" t="inlineStr">
        <is>
          <t>No</t>
        </is>
      </c>
      <c r="I487" t="inlineStr">
        <is>
          <t>No</t>
        </is>
      </c>
      <c r="J487" t="inlineStr">
        <is>
          <t>0</t>
        </is>
      </c>
      <c r="K487" t="inlineStr">
        <is>
          <t>Morgan, John Henry.</t>
        </is>
      </c>
      <c r="L487" t="inlineStr">
        <is>
          <t>Bristol, Indiana, The Parish Church Library, 1980.</t>
        </is>
      </c>
      <c r="M487" t="inlineStr">
        <is>
          <t>1980</t>
        </is>
      </c>
      <c r="O487" t="inlineStr">
        <is>
          <t>eng</t>
        </is>
      </c>
      <c r="P487" t="inlineStr">
        <is>
          <t>inu</t>
        </is>
      </c>
      <c r="R487" t="inlineStr">
        <is>
          <t xml:space="preserve">BV </t>
        </is>
      </c>
      <c r="S487" t="n">
        <v>1</v>
      </c>
      <c r="T487" t="n">
        <v>1</v>
      </c>
      <c r="U487" t="inlineStr">
        <is>
          <t>2003-08-04</t>
        </is>
      </c>
      <c r="V487" t="inlineStr">
        <is>
          <t>2003-08-04</t>
        </is>
      </c>
      <c r="W487" t="inlineStr">
        <is>
          <t>1992-02-25</t>
        </is>
      </c>
      <c r="X487" t="inlineStr">
        <is>
          <t>1992-02-25</t>
        </is>
      </c>
      <c r="Y487" t="n">
        <v>69</v>
      </c>
      <c r="Z487" t="n">
        <v>62</v>
      </c>
      <c r="AA487" t="n">
        <v>76</v>
      </c>
      <c r="AB487" t="n">
        <v>1</v>
      </c>
      <c r="AC487" t="n">
        <v>1</v>
      </c>
      <c r="AD487" t="n">
        <v>6</v>
      </c>
      <c r="AE487" t="n">
        <v>7</v>
      </c>
      <c r="AF487" t="n">
        <v>2</v>
      </c>
      <c r="AG487" t="n">
        <v>2</v>
      </c>
      <c r="AH487" t="n">
        <v>2</v>
      </c>
      <c r="AI487" t="n">
        <v>3</v>
      </c>
      <c r="AJ487" t="n">
        <v>4</v>
      </c>
      <c r="AK487" t="n">
        <v>4</v>
      </c>
      <c r="AL487" t="n">
        <v>0</v>
      </c>
      <c r="AM487" t="n">
        <v>0</v>
      </c>
      <c r="AN487" t="n">
        <v>0</v>
      </c>
      <c r="AO487" t="n">
        <v>0</v>
      </c>
      <c r="AP487" t="inlineStr">
        <is>
          <t>No</t>
        </is>
      </c>
      <c r="AQ487" t="inlineStr">
        <is>
          <t>Yes</t>
        </is>
      </c>
      <c r="AR487">
        <f>HYPERLINK("http://catalog.hathitrust.org/Record/002959094","HathiTrust Record")</f>
        <v/>
      </c>
      <c r="AS487">
        <f>HYPERLINK("https://creighton-primo.hosted.exlibrisgroup.com/primo-explore/search?tab=default_tab&amp;search_scope=EVERYTHING&amp;vid=01CRU&amp;lang=en_US&amp;offset=0&amp;query=any,contains,991005094789702656","Catalog Record")</f>
        <v/>
      </c>
      <c r="AT487">
        <f>HYPERLINK("http://www.worldcat.org/oclc/7243474","WorldCat Record")</f>
        <v/>
      </c>
      <c r="AU487" t="inlineStr">
        <is>
          <t>26635812:eng</t>
        </is>
      </c>
      <c r="AV487" t="inlineStr">
        <is>
          <t>7243474</t>
        </is>
      </c>
      <c r="AW487" t="inlineStr">
        <is>
          <t>991005094789702656</t>
        </is>
      </c>
      <c r="AX487" t="inlineStr">
        <is>
          <t>991005094789702656</t>
        </is>
      </c>
      <c r="AY487" t="inlineStr">
        <is>
          <t>2257633560002656</t>
        </is>
      </c>
      <c r="AZ487" t="inlineStr">
        <is>
          <t>BOOK</t>
        </is>
      </c>
      <c r="BC487" t="inlineStr">
        <is>
          <t>32285000965862</t>
        </is>
      </c>
      <c r="BD487" t="inlineStr">
        <is>
          <t>893437144</t>
        </is>
      </c>
    </row>
    <row r="488">
      <c r="A488" t="inlineStr">
        <is>
          <t>No</t>
        </is>
      </c>
      <c r="B488" t="inlineStr">
        <is>
          <t>BV4397.5 .H35 2004</t>
        </is>
      </c>
      <c r="C488" t="inlineStr">
        <is>
          <t>0                      BV 4397500H  35          2004</t>
        </is>
      </c>
      <c r="D488" t="inlineStr">
        <is>
          <t>The right road : life choices for clergy / Gwen Wagstrom Halaas.</t>
        </is>
      </c>
      <c r="F488" t="inlineStr">
        <is>
          <t>No</t>
        </is>
      </c>
      <c r="G488" t="inlineStr">
        <is>
          <t>1</t>
        </is>
      </c>
      <c r="H488" t="inlineStr">
        <is>
          <t>No</t>
        </is>
      </c>
      <c r="I488" t="inlineStr">
        <is>
          <t>No</t>
        </is>
      </c>
      <c r="J488" t="inlineStr">
        <is>
          <t>0</t>
        </is>
      </c>
      <c r="K488" t="inlineStr">
        <is>
          <t>Halaas, Gwen Wagstrom, 1954-</t>
        </is>
      </c>
      <c r="L488" t="inlineStr">
        <is>
          <t>Minneapolis : Fortress Press, c2004.</t>
        </is>
      </c>
      <c r="M488" t="inlineStr">
        <is>
          <t>2004</t>
        </is>
      </c>
      <c r="O488" t="inlineStr">
        <is>
          <t>eng</t>
        </is>
      </c>
      <c r="P488" t="inlineStr">
        <is>
          <t>mnu</t>
        </is>
      </c>
      <c r="Q488" t="inlineStr">
        <is>
          <t>Prisms</t>
        </is>
      </c>
      <c r="R488" t="inlineStr">
        <is>
          <t xml:space="preserve">BV </t>
        </is>
      </c>
      <c r="S488" t="n">
        <v>2</v>
      </c>
      <c r="T488" t="n">
        <v>2</v>
      </c>
      <c r="U488" t="inlineStr">
        <is>
          <t>2007-12-12</t>
        </is>
      </c>
      <c r="V488" t="inlineStr">
        <is>
          <t>2007-12-12</t>
        </is>
      </c>
      <c r="W488" t="inlineStr">
        <is>
          <t>2004-11-17</t>
        </is>
      </c>
      <c r="X488" t="inlineStr">
        <is>
          <t>2004-11-17</t>
        </is>
      </c>
      <c r="Y488" t="n">
        <v>128</v>
      </c>
      <c r="Z488" t="n">
        <v>104</v>
      </c>
      <c r="AA488" t="n">
        <v>104</v>
      </c>
      <c r="AB488" t="n">
        <v>1</v>
      </c>
      <c r="AC488" t="n">
        <v>1</v>
      </c>
      <c r="AD488" t="n">
        <v>9</v>
      </c>
      <c r="AE488" t="n">
        <v>9</v>
      </c>
      <c r="AF488" t="n">
        <v>5</v>
      </c>
      <c r="AG488" t="n">
        <v>5</v>
      </c>
      <c r="AH488" t="n">
        <v>1</v>
      </c>
      <c r="AI488" t="n">
        <v>1</v>
      </c>
      <c r="AJ488" t="n">
        <v>6</v>
      </c>
      <c r="AK488" t="n">
        <v>6</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HYPERLINK("https://creighton-primo.hosted.exlibrisgroup.com/primo-explore/search?tab=default_tab&amp;search_scope=EVERYTHING&amp;vid=01CRU&amp;lang=en_US&amp;offset=0&amp;query=any,contains,991004423309702656","Catalog Record")</f>
        <v/>
      </c>
      <c r="AT488">
        <f>HYPERLINK("http://www.worldcat.org/oclc/54988552","WorldCat Record")</f>
        <v/>
      </c>
      <c r="AU488" t="inlineStr">
        <is>
          <t>1105009408:eng</t>
        </is>
      </c>
      <c r="AV488" t="inlineStr">
        <is>
          <t>54988552</t>
        </is>
      </c>
      <c r="AW488" t="inlineStr">
        <is>
          <t>991004423309702656</t>
        </is>
      </c>
      <c r="AX488" t="inlineStr">
        <is>
          <t>991004423309702656</t>
        </is>
      </c>
      <c r="AY488" t="inlineStr">
        <is>
          <t>2266361790002656</t>
        </is>
      </c>
      <c r="AZ488" t="inlineStr">
        <is>
          <t>BOOK</t>
        </is>
      </c>
      <c r="BB488" t="inlineStr">
        <is>
          <t>9780800636579</t>
        </is>
      </c>
      <c r="BC488" t="inlineStr">
        <is>
          <t>32285005011662</t>
        </is>
      </c>
      <c r="BD488" t="inlineStr">
        <is>
          <t>893706396</t>
        </is>
      </c>
    </row>
    <row r="489">
      <c r="A489" t="inlineStr">
        <is>
          <t>No</t>
        </is>
      </c>
      <c r="B489" t="inlineStr">
        <is>
          <t>BV4398 .H84 1985</t>
        </is>
      </c>
      <c r="C489" t="inlineStr">
        <is>
          <t>0                      BV 4398000H  84          1985</t>
        </is>
      </c>
      <c r="D489" t="inlineStr">
        <is>
          <t>Managing stress in ministry / William E. Hulme.</t>
        </is>
      </c>
      <c r="F489" t="inlineStr">
        <is>
          <t>No</t>
        </is>
      </c>
      <c r="G489" t="inlineStr">
        <is>
          <t>1</t>
        </is>
      </c>
      <c r="H489" t="inlineStr">
        <is>
          <t>No</t>
        </is>
      </c>
      <c r="I489" t="inlineStr">
        <is>
          <t>No</t>
        </is>
      </c>
      <c r="J489" t="inlineStr">
        <is>
          <t>0</t>
        </is>
      </c>
      <c r="K489" t="inlineStr">
        <is>
          <t>Hulme, William E. (William Edward), 1920-1995.</t>
        </is>
      </c>
      <c r="L489" t="inlineStr">
        <is>
          <t>San Francisco : Harper &amp; Row, c1985.</t>
        </is>
      </c>
      <c r="M489" t="inlineStr">
        <is>
          <t>1985</t>
        </is>
      </c>
      <c r="N489" t="inlineStr">
        <is>
          <t>1st ed.</t>
        </is>
      </c>
      <c r="O489" t="inlineStr">
        <is>
          <t>eng</t>
        </is>
      </c>
      <c r="P489" t="inlineStr">
        <is>
          <t>cau</t>
        </is>
      </c>
      <c r="R489" t="inlineStr">
        <is>
          <t xml:space="preserve">BV </t>
        </is>
      </c>
      <c r="S489" t="n">
        <v>3</v>
      </c>
      <c r="T489" t="n">
        <v>3</v>
      </c>
      <c r="U489" t="inlineStr">
        <is>
          <t>2007-12-12</t>
        </is>
      </c>
      <c r="V489" t="inlineStr">
        <is>
          <t>2007-12-12</t>
        </is>
      </c>
      <c r="W489" t="inlineStr">
        <is>
          <t>1991-03-21</t>
        </is>
      </c>
      <c r="X489" t="inlineStr">
        <is>
          <t>1991-03-21</t>
        </is>
      </c>
      <c r="Y489" t="n">
        <v>331</v>
      </c>
      <c r="Z489" t="n">
        <v>282</v>
      </c>
      <c r="AA489" t="n">
        <v>282</v>
      </c>
      <c r="AB489" t="n">
        <v>2</v>
      </c>
      <c r="AC489" t="n">
        <v>2</v>
      </c>
      <c r="AD489" t="n">
        <v>10</v>
      </c>
      <c r="AE489" t="n">
        <v>10</v>
      </c>
      <c r="AF489" t="n">
        <v>5</v>
      </c>
      <c r="AG489" t="n">
        <v>5</v>
      </c>
      <c r="AH489" t="n">
        <v>1</v>
      </c>
      <c r="AI489" t="n">
        <v>1</v>
      </c>
      <c r="AJ489" t="n">
        <v>5</v>
      </c>
      <c r="AK489" t="n">
        <v>5</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HYPERLINK("https://creighton-primo.hosted.exlibrisgroup.com/primo-explore/search?tab=default_tab&amp;search_scope=EVERYTHING&amp;vid=01CRU&amp;lang=en_US&amp;offset=0&amp;query=any,contains,991000538349702656","Catalog Record")</f>
        <v/>
      </c>
      <c r="AT489">
        <f>HYPERLINK("http://www.worldcat.org/oclc/11468501","WorldCat Record")</f>
        <v/>
      </c>
      <c r="AU489" t="inlineStr">
        <is>
          <t>3930169:eng</t>
        </is>
      </c>
      <c r="AV489" t="inlineStr">
        <is>
          <t>11468501</t>
        </is>
      </c>
      <c r="AW489" t="inlineStr">
        <is>
          <t>991000538349702656</t>
        </is>
      </c>
      <c r="AX489" t="inlineStr">
        <is>
          <t>991000538349702656</t>
        </is>
      </c>
      <c r="AY489" t="inlineStr">
        <is>
          <t>2264788490002656</t>
        </is>
      </c>
      <c r="AZ489" t="inlineStr">
        <is>
          <t>BOOK</t>
        </is>
      </c>
      <c r="BB489" t="inlineStr">
        <is>
          <t>9780060640774</t>
        </is>
      </c>
      <c r="BC489" t="inlineStr">
        <is>
          <t>32285000536481</t>
        </is>
      </c>
      <c r="BD489" t="inlineStr">
        <is>
          <t>893425815</t>
        </is>
      </c>
    </row>
    <row r="490">
      <c r="A490" t="inlineStr">
        <is>
          <t>No</t>
        </is>
      </c>
      <c r="B490" t="inlineStr">
        <is>
          <t>BV4398 .S26 1982</t>
        </is>
      </c>
      <c r="C490" t="inlineStr">
        <is>
          <t>0                      BV 4398000S  26          1982</t>
        </is>
      </c>
      <c r="D490" t="inlineStr">
        <is>
          <t>Ministry burnout / John A. Sanford.</t>
        </is>
      </c>
      <c r="F490" t="inlineStr">
        <is>
          <t>No</t>
        </is>
      </c>
      <c r="G490" t="inlineStr">
        <is>
          <t>1</t>
        </is>
      </c>
      <c r="H490" t="inlineStr">
        <is>
          <t>No</t>
        </is>
      </c>
      <c r="I490" t="inlineStr">
        <is>
          <t>No</t>
        </is>
      </c>
      <c r="J490" t="inlineStr">
        <is>
          <t>0</t>
        </is>
      </c>
      <c r="K490" t="inlineStr">
        <is>
          <t>Sanford, John A.</t>
        </is>
      </c>
      <c r="L490" t="inlineStr">
        <is>
          <t>New York : Paulist Press, c1982.</t>
        </is>
      </c>
      <c r="M490" t="inlineStr">
        <is>
          <t>1982</t>
        </is>
      </c>
      <c r="O490" t="inlineStr">
        <is>
          <t>eng</t>
        </is>
      </c>
      <c r="P490" t="inlineStr">
        <is>
          <t>nyu</t>
        </is>
      </c>
      <c r="R490" t="inlineStr">
        <is>
          <t xml:space="preserve">BV </t>
        </is>
      </c>
      <c r="S490" t="n">
        <v>2</v>
      </c>
      <c r="T490" t="n">
        <v>2</v>
      </c>
      <c r="U490" t="inlineStr">
        <is>
          <t>2007-12-12</t>
        </is>
      </c>
      <c r="V490" t="inlineStr">
        <is>
          <t>2007-12-12</t>
        </is>
      </c>
      <c r="W490" t="inlineStr">
        <is>
          <t>1991-12-06</t>
        </is>
      </c>
      <c r="X490" t="inlineStr">
        <is>
          <t>1991-12-06</t>
        </is>
      </c>
      <c r="Y490" t="n">
        <v>366</v>
      </c>
      <c r="Z490" t="n">
        <v>313</v>
      </c>
      <c r="AA490" t="n">
        <v>370</v>
      </c>
      <c r="AB490" t="n">
        <v>5</v>
      </c>
      <c r="AC490" t="n">
        <v>5</v>
      </c>
      <c r="AD490" t="n">
        <v>24</v>
      </c>
      <c r="AE490" t="n">
        <v>26</v>
      </c>
      <c r="AF490" t="n">
        <v>8</v>
      </c>
      <c r="AG490" t="n">
        <v>9</v>
      </c>
      <c r="AH490" t="n">
        <v>4</v>
      </c>
      <c r="AI490" t="n">
        <v>4</v>
      </c>
      <c r="AJ490" t="n">
        <v>14</v>
      </c>
      <c r="AK490" t="n">
        <v>15</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HYPERLINK("https://creighton-primo.hosted.exlibrisgroup.com/primo-explore/search?tab=default_tab&amp;search_scope=EVERYTHING&amp;vid=01CRU&amp;lang=en_US&amp;offset=0&amp;query=any,contains,991000070289702656","Catalog Record")</f>
        <v/>
      </c>
      <c r="AT490">
        <f>HYPERLINK("http://www.worldcat.org/oclc/8782289","WorldCat Record")</f>
        <v/>
      </c>
      <c r="AU490" t="inlineStr">
        <is>
          <t>2673528:eng</t>
        </is>
      </c>
      <c r="AV490" t="inlineStr">
        <is>
          <t>8782289</t>
        </is>
      </c>
      <c r="AW490" t="inlineStr">
        <is>
          <t>991000070289702656</t>
        </is>
      </c>
      <c r="AX490" t="inlineStr">
        <is>
          <t>991000070289702656</t>
        </is>
      </c>
      <c r="AY490" t="inlineStr">
        <is>
          <t>2264495580002656</t>
        </is>
      </c>
      <c r="AZ490" t="inlineStr">
        <is>
          <t>BOOK</t>
        </is>
      </c>
      <c r="BB490" t="inlineStr">
        <is>
          <t>9780809103331</t>
        </is>
      </c>
      <c r="BC490" t="inlineStr">
        <is>
          <t>32285000837699</t>
        </is>
      </c>
      <c r="BD490" t="inlineStr">
        <is>
          <t>893790212</t>
        </is>
      </c>
    </row>
    <row r="491">
      <c r="A491" t="inlineStr">
        <is>
          <t>No</t>
        </is>
      </c>
      <c r="B491" t="inlineStr">
        <is>
          <t>BV4400 .S716 2000</t>
        </is>
      </c>
      <c r="C491" t="inlineStr">
        <is>
          <t>0                      BV 4400000S  716         2000</t>
        </is>
      </c>
      <c r="D491" t="inlineStr">
        <is>
          <t>The other six days : vocation, work, and ministry in biblical perspective / R. Paul Stevens.</t>
        </is>
      </c>
      <c r="F491" t="inlineStr">
        <is>
          <t>No</t>
        </is>
      </c>
      <c r="G491" t="inlineStr">
        <is>
          <t>1</t>
        </is>
      </c>
      <c r="H491" t="inlineStr">
        <is>
          <t>No</t>
        </is>
      </c>
      <c r="I491" t="inlineStr">
        <is>
          <t>No</t>
        </is>
      </c>
      <c r="J491" t="inlineStr">
        <is>
          <t>0</t>
        </is>
      </c>
      <c r="K491" t="inlineStr">
        <is>
          <t>Stevens, R. Paul, 1937-</t>
        </is>
      </c>
      <c r="L491" t="inlineStr">
        <is>
          <t>Grand Rapids, Mich. : W.B. Eerdmans ; Vancouver, B.C. : Regent College Pub., 2000, c1999.</t>
        </is>
      </c>
      <c r="M491" t="inlineStr">
        <is>
          <t>2000</t>
        </is>
      </c>
      <c r="O491" t="inlineStr">
        <is>
          <t>eng</t>
        </is>
      </c>
      <c r="P491" t="inlineStr">
        <is>
          <t>miu</t>
        </is>
      </c>
      <c r="R491" t="inlineStr">
        <is>
          <t xml:space="preserve">BV </t>
        </is>
      </c>
      <c r="S491" t="n">
        <v>2</v>
      </c>
      <c r="T491" t="n">
        <v>2</v>
      </c>
      <c r="U491" t="inlineStr">
        <is>
          <t>2006-03-14</t>
        </is>
      </c>
      <c r="V491" t="inlineStr">
        <is>
          <t>2006-03-14</t>
        </is>
      </c>
      <c r="W491" t="inlineStr">
        <is>
          <t>2006-03-14</t>
        </is>
      </c>
      <c r="X491" t="inlineStr">
        <is>
          <t>2006-03-14</t>
        </is>
      </c>
      <c r="Y491" t="n">
        <v>278</v>
      </c>
      <c r="Z491" t="n">
        <v>234</v>
      </c>
      <c r="AA491" t="n">
        <v>235</v>
      </c>
      <c r="AB491" t="n">
        <v>3</v>
      </c>
      <c r="AC491" t="n">
        <v>3</v>
      </c>
      <c r="AD491" t="n">
        <v>20</v>
      </c>
      <c r="AE491" t="n">
        <v>20</v>
      </c>
      <c r="AF491" t="n">
        <v>8</v>
      </c>
      <c r="AG491" t="n">
        <v>8</v>
      </c>
      <c r="AH491" t="n">
        <v>5</v>
      </c>
      <c r="AI491" t="n">
        <v>5</v>
      </c>
      <c r="AJ491" t="n">
        <v>9</v>
      </c>
      <c r="AK491" t="n">
        <v>9</v>
      </c>
      <c r="AL491" t="n">
        <v>2</v>
      </c>
      <c r="AM491" t="n">
        <v>2</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HYPERLINK("https://creighton-primo.hosted.exlibrisgroup.com/primo-explore/search?tab=default_tab&amp;search_scope=EVERYTHING&amp;vid=01CRU&amp;lang=en_US&amp;offset=0&amp;query=any,contains,991004741269702656","Catalog Record")</f>
        <v/>
      </c>
      <c r="AT491">
        <f>HYPERLINK("http://www.worldcat.org/oclc/44174195","WorldCat Record")</f>
        <v/>
      </c>
      <c r="AU491" t="inlineStr">
        <is>
          <t>1083770521:eng</t>
        </is>
      </c>
      <c r="AV491" t="inlineStr">
        <is>
          <t>44174195</t>
        </is>
      </c>
      <c r="AW491" t="inlineStr">
        <is>
          <t>991004741269702656</t>
        </is>
      </c>
      <c r="AX491" t="inlineStr">
        <is>
          <t>991004741269702656</t>
        </is>
      </c>
      <c r="AY491" t="inlineStr">
        <is>
          <t>2258967390002656</t>
        </is>
      </c>
      <c r="AZ491" t="inlineStr">
        <is>
          <t>BOOK</t>
        </is>
      </c>
      <c r="BB491" t="inlineStr">
        <is>
          <t>9780802848000</t>
        </is>
      </c>
      <c r="BC491" t="inlineStr">
        <is>
          <t>32285005165211</t>
        </is>
      </c>
      <c r="BD491" t="inlineStr">
        <is>
          <t>893776376</t>
        </is>
      </c>
    </row>
    <row r="492">
      <c r="A492" t="inlineStr">
        <is>
          <t>No</t>
        </is>
      </c>
      <c r="B492" t="inlineStr">
        <is>
          <t>BV4405 .C64 1998</t>
        </is>
      </c>
      <c r="C492" t="inlineStr">
        <is>
          <t>0                      BV 4405000C  64          1998</t>
        </is>
      </c>
      <c r="D492" t="inlineStr">
        <is>
          <t>Common life in the early church : essays honoring Graydon F. Snyder / edited by Julian V. Hills ; with Richard B. Gardner ... [et al.].</t>
        </is>
      </c>
      <c r="F492" t="inlineStr">
        <is>
          <t>No</t>
        </is>
      </c>
      <c r="G492" t="inlineStr">
        <is>
          <t>1</t>
        </is>
      </c>
      <c r="H492" t="inlineStr">
        <is>
          <t>No</t>
        </is>
      </c>
      <c r="I492" t="inlineStr">
        <is>
          <t>No</t>
        </is>
      </c>
      <c r="J492" t="inlineStr">
        <is>
          <t>0</t>
        </is>
      </c>
      <c r="L492" t="inlineStr">
        <is>
          <t>Harrisburg, Pa. : Trinity Press International, c1998.</t>
        </is>
      </c>
      <c r="M492" t="inlineStr">
        <is>
          <t>1998</t>
        </is>
      </c>
      <c r="O492" t="inlineStr">
        <is>
          <t>eng</t>
        </is>
      </c>
      <c r="P492" t="inlineStr">
        <is>
          <t>pau</t>
        </is>
      </c>
      <c r="R492" t="inlineStr">
        <is>
          <t xml:space="preserve">BV </t>
        </is>
      </c>
      <c r="S492" t="n">
        <v>1</v>
      </c>
      <c r="T492" t="n">
        <v>1</v>
      </c>
      <c r="U492" t="inlineStr">
        <is>
          <t>2007-07-11</t>
        </is>
      </c>
      <c r="V492" t="inlineStr">
        <is>
          <t>2007-07-11</t>
        </is>
      </c>
      <c r="W492" t="inlineStr">
        <is>
          <t>2000-08-28</t>
        </is>
      </c>
      <c r="X492" t="inlineStr">
        <is>
          <t>2000-08-28</t>
        </is>
      </c>
      <c r="Y492" t="n">
        <v>270</v>
      </c>
      <c r="Z492" t="n">
        <v>223</v>
      </c>
      <c r="AA492" t="n">
        <v>225</v>
      </c>
      <c r="AB492" t="n">
        <v>3</v>
      </c>
      <c r="AC492" t="n">
        <v>3</v>
      </c>
      <c r="AD492" t="n">
        <v>17</v>
      </c>
      <c r="AE492" t="n">
        <v>17</v>
      </c>
      <c r="AF492" t="n">
        <v>5</v>
      </c>
      <c r="AG492" t="n">
        <v>5</v>
      </c>
      <c r="AH492" t="n">
        <v>4</v>
      </c>
      <c r="AI492" t="n">
        <v>4</v>
      </c>
      <c r="AJ492" t="n">
        <v>9</v>
      </c>
      <c r="AK492" t="n">
        <v>9</v>
      </c>
      <c r="AL492" t="n">
        <v>2</v>
      </c>
      <c r="AM492" t="n">
        <v>2</v>
      </c>
      <c r="AN492" t="n">
        <v>0</v>
      </c>
      <c r="AO492" t="n">
        <v>0</v>
      </c>
      <c r="AP492" t="inlineStr">
        <is>
          <t>No</t>
        </is>
      </c>
      <c r="AQ492" t="inlineStr">
        <is>
          <t>Yes</t>
        </is>
      </c>
      <c r="AR492">
        <f>HYPERLINK("http://catalog.hathitrust.org/Record/004013786","HathiTrust Record")</f>
        <v/>
      </c>
      <c r="AS492">
        <f>HYPERLINK("https://creighton-primo.hosted.exlibrisgroup.com/primo-explore/search?tab=default_tab&amp;search_scope=EVERYTHING&amp;vid=01CRU&amp;lang=en_US&amp;offset=0&amp;query=any,contains,991003221509702656","Catalog Record")</f>
        <v/>
      </c>
      <c r="AT492">
        <f>HYPERLINK("http://www.worldcat.org/oclc/39811737","WorldCat Record")</f>
        <v/>
      </c>
      <c r="AU492" t="inlineStr">
        <is>
          <t>346340164:eng</t>
        </is>
      </c>
      <c r="AV492" t="inlineStr">
        <is>
          <t>39811737</t>
        </is>
      </c>
      <c r="AW492" t="inlineStr">
        <is>
          <t>991003221509702656</t>
        </is>
      </c>
      <c r="AX492" t="inlineStr">
        <is>
          <t>991003221509702656</t>
        </is>
      </c>
      <c r="AY492" t="inlineStr">
        <is>
          <t>2269830500002656</t>
        </is>
      </c>
      <c r="AZ492" t="inlineStr">
        <is>
          <t>BOOK</t>
        </is>
      </c>
      <c r="BB492" t="inlineStr">
        <is>
          <t>9781563382543</t>
        </is>
      </c>
      <c r="BC492" t="inlineStr">
        <is>
          <t>32285003759486</t>
        </is>
      </c>
      <c r="BD492" t="inlineStr">
        <is>
          <t>893617115</t>
        </is>
      </c>
    </row>
    <row r="493">
      <c r="A493" t="inlineStr">
        <is>
          <t>No</t>
        </is>
      </c>
      <c r="B493" t="inlineStr">
        <is>
          <t>BV4405 .R38 1990</t>
        </is>
      </c>
      <c r="C493" t="inlineStr">
        <is>
          <t>0                      BV 4405000R  38          1990</t>
        </is>
      </c>
      <c r="D493" t="inlineStr">
        <is>
          <t>Radical Christian communities / by Thomas P. Rausch.</t>
        </is>
      </c>
      <c r="F493" t="inlineStr">
        <is>
          <t>No</t>
        </is>
      </c>
      <c r="G493" t="inlineStr">
        <is>
          <t>1</t>
        </is>
      </c>
      <c r="H493" t="inlineStr">
        <is>
          <t>No</t>
        </is>
      </c>
      <c r="I493" t="inlineStr">
        <is>
          <t>No</t>
        </is>
      </c>
      <c r="J493" t="inlineStr">
        <is>
          <t>0</t>
        </is>
      </c>
      <c r="K493" t="inlineStr">
        <is>
          <t>Rausch, Thomas P.</t>
        </is>
      </c>
      <c r="L493" t="inlineStr">
        <is>
          <t>Collegeville, Minn. : Liturgical Press, c1990.</t>
        </is>
      </c>
      <c r="M493" t="inlineStr">
        <is>
          <t>1990</t>
        </is>
      </c>
      <c r="O493" t="inlineStr">
        <is>
          <t>eng</t>
        </is>
      </c>
      <c r="P493" t="inlineStr">
        <is>
          <t>mnu</t>
        </is>
      </c>
      <c r="R493" t="inlineStr">
        <is>
          <t xml:space="preserve">BV </t>
        </is>
      </c>
      <c r="S493" t="n">
        <v>2</v>
      </c>
      <c r="T493" t="n">
        <v>2</v>
      </c>
      <c r="U493" t="inlineStr">
        <is>
          <t>2008-03-27</t>
        </is>
      </c>
      <c r="V493" t="inlineStr">
        <is>
          <t>2008-03-27</t>
        </is>
      </c>
      <c r="W493" t="inlineStr">
        <is>
          <t>1992-09-30</t>
        </is>
      </c>
      <c r="X493" t="inlineStr">
        <is>
          <t>1992-09-30</t>
        </is>
      </c>
      <c r="Y493" t="n">
        <v>213</v>
      </c>
      <c r="Z493" t="n">
        <v>178</v>
      </c>
      <c r="AA493" t="n">
        <v>186</v>
      </c>
      <c r="AB493" t="n">
        <v>1</v>
      </c>
      <c r="AC493" t="n">
        <v>1</v>
      </c>
      <c r="AD493" t="n">
        <v>23</v>
      </c>
      <c r="AE493" t="n">
        <v>24</v>
      </c>
      <c r="AF493" t="n">
        <v>7</v>
      </c>
      <c r="AG493" t="n">
        <v>8</v>
      </c>
      <c r="AH493" t="n">
        <v>7</v>
      </c>
      <c r="AI493" t="n">
        <v>7</v>
      </c>
      <c r="AJ493" t="n">
        <v>17</v>
      </c>
      <c r="AK493" t="n">
        <v>18</v>
      </c>
      <c r="AL493" t="n">
        <v>0</v>
      </c>
      <c r="AM493" t="n">
        <v>0</v>
      </c>
      <c r="AN493" t="n">
        <v>0</v>
      </c>
      <c r="AO493" t="n">
        <v>0</v>
      </c>
      <c r="AP493" t="inlineStr">
        <is>
          <t>No</t>
        </is>
      </c>
      <c r="AQ493" t="inlineStr">
        <is>
          <t>Yes</t>
        </is>
      </c>
      <c r="AR493">
        <f>HYPERLINK("http://catalog.hathitrust.org/Record/006019308","HathiTrust Record")</f>
        <v/>
      </c>
      <c r="AS493">
        <f>HYPERLINK("https://creighton-primo.hosted.exlibrisgroup.com/primo-explore/search?tab=default_tab&amp;search_scope=EVERYTHING&amp;vid=01CRU&amp;lang=en_US&amp;offset=0&amp;query=any,contains,991001751349702656","Catalog Record")</f>
        <v/>
      </c>
      <c r="AT493">
        <f>HYPERLINK("http://www.worldcat.org/oclc/22182658","WorldCat Record")</f>
        <v/>
      </c>
      <c r="AU493" t="inlineStr">
        <is>
          <t>10293877:eng</t>
        </is>
      </c>
      <c r="AV493" t="inlineStr">
        <is>
          <t>22182658</t>
        </is>
      </c>
      <c r="AW493" t="inlineStr">
        <is>
          <t>991001751349702656</t>
        </is>
      </c>
      <c r="AX493" t="inlineStr">
        <is>
          <t>991001751349702656</t>
        </is>
      </c>
      <c r="AY493" t="inlineStr">
        <is>
          <t>2259499360002656</t>
        </is>
      </c>
      <c r="AZ493" t="inlineStr">
        <is>
          <t>BOOK</t>
        </is>
      </c>
      <c r="BB493" t="inlineStr">
        <is>
          <t>9780814650080</t>
        </is>
      </c>
      <c r="BC493" t="inlineStr">
        <is>
          <t>32285001315240</t>
        </is>
      </c>
      <c r="BD493" t="inlineStr">
        <is>
          <t>893885511</t>
        </is>
      </c>
    </row>
    <row r="494">
      <c r="A494" t="inlineStr">
        <is>
          <t>No</t>
        </is>
      </c>
      <c r="B494" t="inlineStr">
        <is>
          <t>BV4405 .W47 1992</t>
        </is>
      </c>
      <c r="C494" t="inlineStr">
        <is>
          <t>0                      BV 4405000W  47          1992</t>
        </is>
      </c>
      <c r="D494" t="inlineStr">
        <is>
          <t>Good things happen : experiencing community in small groups / Dick Westley.</t>
        </is>
      </c>
      <c r="F494" t="inlineStr">
        <is>
          <t>No</t>
        </is>
      </c>
      <c r="G494" t="inlineStr">
        <is>
          <t>1</t>
        </is>
      </c>
      <c r="H494" t="inlineStr">
        <is>
          <t>No</t>
        </is>
      </c>
      <c r="I494" t="inlineStr">
        <is>
          <t>No</t>
        </is>
      </c>
      <c r="J494" t="inlineStr">
        <is>
          <t>0</t>
        </is>
      </c>
      <c r="K494" t="inlineStr">
        <is>
          <t>Westley, Dick.</t>
        </is>
      </c>
      <c r="L494" t="inlineStr">
        <is>
          <t>Mystic, Conn. : Twenty-Third Publications, c1992.</t>
        </is>
      </c>
      <c r="M494" t="inlineStr">
        <is>
          <t>1992</t>
        </is>
      </c>
      <c r="O494" t="inlineStr">
        <is>
          <t>eng</t>
        </is>
      </c>
      <c r="P494" t="inlineStr">
        <is>
          <t>ctu</t>
        </is>
      </c>
      <c r="R494" t="inlineStr">
        <is>
          <t xml:space="preserve">BV </t>
        </is>
      </c>
      <c r="S494" t="n">
        <v>1</v>
      </c>
      <c r="T494" t="n">
        <v>1</v>
      </c>
      <c r="U494" t="inlineStr">
        <is>
          <t>2009-07-28</t>
        </is>
      </c>
      <c r="V494" t="inlineStr">
        <is>
          <t>2009-07-28</t>
        </is>
      </c>
      <c r="W494" t="inlineStr">
        <is>
          <t>2009-07-28</t>
        </is>
      </c>
      <c r="X494" t="inlineStr">
        <is>
          <t>2009-07-28</t>
        </is>
      </c>
      <c r="Y494" t="n">
        <v>97</v>
      </c>
      <c r="Z494" t="n">
        <v>83</v>
      </c>
      <c r="AA494" t="n">
        <v>86</v>
      </c>
      <c r="AB494" t="n">
        <v>1</v>
      </c>
      <c r="AC494" t="n">
        <v>1</v>
      </c>
      <c r="AD494" t="n">
        <v>13</v>
      </c>
      <c r="AE494" t="n">
        <v>13</v>
      </c>
      <c r="AF494" t="n">
        <v>4</v>
      </c>
      <c r="AG494" t="n">
        <v>4</v>
      </c>
      <c r="AH494" t="n">
        <v>5</v>
      </c>
      <c r="AI494" t="n">
        <v>5</v>
      </c>
      <c r="AJ494" t="n">
        <v>8</v>
      </c>
      <c r="AK494" t="n">
        <v>8</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HYPERLINK("https://creighton-primo.hosted.exlibrisgroup.com/primo-explore/search?tab=default_tab&amp;search_scope=EVERYTHING&amp;vid=01CRU&amp;lang=en_US&amp;offset=0&amp;query=any,contains,991005328569702656","Catalog Record")</f>
        <v/>
      </c>
      <c r="AT494">
        <f>HYPERLINK("http://www.worldcat.org/oclc/27086236","WorldCat Record")</f>
        <v/>
      </c>
      <c r="AU494" t="inlineStr">
        <is>
          <t>29807047:eng</t>
        </is>
      </c>
      <c r="AV494" t="inlineStr">
        <is>
          <t>27086236</t>
        </is>
      </c>
      <c r="AW494" t="inlineStr">
        <is>
          <t>991005328569702656</t>
        </is>
      </c>
      <c r="AX494" t="inlineStr">
        <is>
          <t>991005328569702656</t>
        </is>
      </c>
      <c r="AY494" t="inlineStr">
        <is>
          <t>2271389010002656</t>
        </is>
      </c>
      <c r="AZ494" t="inlineStr">
        <is>
          <t>BOOK</t>
        </is>
      </c>
      <c r="BB494" t="inlineStr">
        <is>
          <t>9780896225121</t>
        </is>
      </c>
      <c r="BC494" t="inlineStr">
        <is>
          <t>32285005539340</t>
        </is>
      </c>
      <c r="BD494" t="inlineStr">
        <is>
          <t>893625828</t>
        </is>
      </c>
    </row>
    <row r="495">
      <c r="A495" t="inlineStr">
        <is>
          <t>No</t>
        </is>
      </c>
      <c r="B495" t="inlineStr">
        <is>
          <t>BV4406.U6 L44 1986</t>
        </is>
      </c>
      <c r="C495" t="inlineStr">
        <is>
          <t>0                      BV 4406000U  6                  L  44          1986</t>
        </is>
      </c>
      <c r="D495" t="inlineStr">
        <is>
          <t>Dangerous memories : house churches and our American story / Bernard J. Lee, Michael A. Cowan.</t>
        </is>
      </c>
      <c r="F495" t="inlineStr">
        <is>
          <t>No</t>
        </is>
      </c>
      <c r="G495" t="inlineStr">
        <is>
          <t>1</t>
        </is>
      </c>
      <c r="H495" t="inlineStr">
        <is>
          <t>No</t>
        </is>
      </c>
      <c r="I495" t="inlineStr">
        <is>
          <t>No</t>
        </is>
      </c>
      <c r="J495" t="inlineStr">
        <is>
          <t>0</t>
        </is>
      </c>
      <c r="K495" t="inlineStr">
        <is>
          <t>Lee, Bernard J., 1932-</t>
        </is>
      </c>
      <c r="L495" t="inlineStr">
        <is>
          <t>Kansas City, MO : Sheed &amp; Ward, c1986.</t>
        </is>
      </c>
      <c r="M495" t="inlineStr">
        <is>
          <t>1986</t>
        </is>
      </c>
      <c r="O495" t="inlineStr">
        <is>
          <t>eng</t>
        </is>
      </c>
      <c r="P495" t="inlineStr">
        <is>
          <t>mou</t>
        </is>
      </c>
      <c r="R495" t="inlineStr">
        <is>
          <t xml:space="preserve">BV </t>
        </is>
      </c>
      <c r="S495" t="n">
        <v>4</v>
      </c>
      <c r="T495" t="n">
        <v>4</v>
      </c>
      <c r="U495" t="inlineStr">
        <is>
          <t>1996-05-03</t>
        </is>
      </c>
      <c r="V495" t="inlineStr">
        <is>
          <t>1996-05-03</t>
        </is>
      </c>
      <c r="W495" t="inlineStr">
        <is>
          <t>1990-03-15</t>
        </is>
      </c>
      <c r="X495" t="inlineStr">
        <is>
          <t>1990-03-15</t>
        </is>
      </c>
      <c r="Y495" t="n">
        <v>215</v>
      </c>
      <c r="Z495" t="n">
        <v>191</v>
      </c>
      <c r="AA495" t="n">
        <v>193</v>
      </c>
      <c r="AB495" t="n">
        <v>2</v>
      </c>
      <c r="AC495" t="n">
        <v>2</v>
      </c>
      <c r="AD495" t="n">
        <v>21</v>
      </c>
      <c r="AE495" t="n">
        <v>21</v>
      </c>
      <c r="AF495" t="n">
        <v>7</v>
      </c>
      <c r="AG495" t="n">
        <v>7</v>
      </c>
      <c r="AH495" t="n">
        <v>4</v>
      </c>
      <c r="AI495" t="n">
        <v>4</v>
      </c>
      <c r="AJ495" t="n">
        <v>15</v>
      </c>
      <c r="AK495" t="n">
        <v>15</v>
      </c>
      <c r="AL495" t="n">
        <v>1</v>
      </c>
      <c r="AM495" t="n">
        <v>1</v>
      </c>
      <c r="AN495" t="n">
        <v>0</v>
      </c>
      <c r="AO495" t="n">
        <v>0</v>
      </c>
      <c r="AP495" t="inlineStr">
        <is>
          <t>No</t>
        </is>
      </c>
      <c r="AQ495" t="inlineStr">
        <is>
          <t>Yes</t>
        </is>
      </c>
      <c r="AR495">
        <f>HYPERLINK("http://catalog.hathitrust.org/Record/002884015","HathiTrust Record")</f>
        <v/>
      </c>
      <c r="AS495">
        <f>HYPERLINK("https://creighton-primo.hosted.exlibrisgroup.com/primo-explore/search?tab=default_tab&amp;search_scope=EVERYTHING&amp;vid=01CRU&amp;lang=en_US&amp;offset=0&amp;query=any,contains,991001024999702656","Catalog Record")</f>
        <v/>
      </c>
      <c r="AT495">
        <f>HYPERLINK("http://www.worldcat.org/oclc/15431852","WorldCat Record")</f>
        <v/>
      </c>
      <c r="AU495" t="inlineStr">
        <is>
          <t>226593235:eng</t>
        </is>
      </c>
      <c r="AV495" t="inlineStr">
        <is>
          <t>15431852</t>
        </is>
      </c>
      <c r="AW495" t="inlineStr">
        <is>
          <t>991001024999702656</t>
        </is>
      </c>
      <c r="AX495" t="inlineStr">
        <is>
          <t>991001024999702656</t>
        </is>
      </c>
      <c r="AY495" t="inlineStr">
        <is>
          <t>2257043690002656</t>
        </is>
      </c>
      <c r="AZ495" t="inlineStr">
        <is>
          <t>BOOK</t>
        </is>
      </c>
      <c r="BB495" t="inlineStr">
        <is>
          <t>9780934134682</t>
        </is>
      </c>
      <c r="BC495" t="inlineStr">
        <is>
          <t>32285000045004</t>
        </is>
      </c>
      <c r="BD495" t="inlineStr">
        <is>
          <t>893333986</t>
        </is>
      </c>
    </row>
    <row r="496">
      <c r="A496" t="inlineStr">
        <is>
          <t>No</t>
        </is>
      </c>
      <c r="B496" t="inlineStr">
        <is>
          <t>BV4424.C3 B7 1976</t>
        </is>
      </c>
      <c r="C496" t="inlineStr">
        <is>
          <t>0                      BV 4424000C  3                  B  7           1976</t>
        </is>
      </c>
      <c r="D496" t="inlineStr">
        <is>
          <t>Ordained to service : a theology of the permanent diaconate / Norbert Brockman.</t>
        </is>
      </c>
      <c r="F496" t="inlineStr">
        <is>
          <t>No</t>
        </is>
      </c>
      <c r="G496" t="inlineStr">
        <is>
          <t>1</t>
        </is>
      </c>
      <c r="H496" t="inlineStr">
        <is>
          <t>No</t>
        </is>
      </c>
      <c r="I496" t="inlineStr">
        <is>
          <t>No</t>
        </is>
      </c>
      <c r="J496" t="inlineStr">
        <is>
          <t>0</t>
        </is>
      </c>
      <c r="K496" t="inlineStr">
        <is>
          <t>Brockman, Norbert.</t>
        </is>
      </c>
      <c r="L496" t="inlineStr">
        <is>
          <t>Hicksville, N.Y. : Exposition, c1976</t>
        </is>
      </c>
      <c r="M496" t="inlineStr">
        <is>
          <t>1976</t>
        </is>
      </c>
      <c r="N496" t="inlineStr">
        <is>
          <t>1st ed.</t>
        </is>
      </c>
      <c r="O496" t="inlineStr">
        <is>
          <t>eng</t>
        </is>
      </c>
      <c r="P496" t="inlineStr">
        <is>
          <t>nyu</t>
        </is>
      </c>
      <c r="R496" t="inlineStr">
        <is>
          <t xml:space="preserve">BV </t>
        </is>
      </c>
      <c r="S496" t="n">
        <v>3</v>
      </c>
      <c r="T496" t="n">
        <v>3</v>
      </c>
      <c r="U496" t="inlineStr">
        <is>
          <t>2003-12-18</t>
        </is>
      </c>
      <c r="V496" t="inlineStr">
        <is>
          <t>2003-12-18</t>
        </is>
      </c>
      <c r="W496" t="inlineStr">
        <is>
          <t>1992-02-25</t>
        </is>
      </c>
      <c r="X496" t="inlineStr">
        <is>
          <t>1992-02-25</t>
        </is>
      </c>
      <c r="Y496" t="n">
        <v>117</v>
      </c>
      <c r="Z496" t="n">
        <v>102</v>
      </c>
      <c r="AA496" t="n">
        <v>102</v>
      </c>
      <c r="AB496" t="n">
        <v>2</v>
      </c>
      <c r="AC496" t="n">
        <v>2</v>
      </c>
      <c r="AD496" t="n">
        <v>10</v>
      </c>
      <c r="AE496" t="n">
        <v>10</v>
      </c>
      <c r="AF496" t="n">
        <v>1</v>
      </c>
      <c r="AG496" t="n">
        <v>1</v>
      </c>
      <c r="AH496" t="n">
        <v>2</v>
      </c>
      <c r="AI496" t="n">
        <v>2</v>
      </c>
      <c r="AJ496" t="n">
        <v>8</v>
      </c>
      <c r="AK496" t="n">
        <v>8</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HYPERLINK("https://creighton-primo.hosted.exlibrisgroup.com/primo-explore/search?tab=default_tab&amp;search_scope=EVERYTHING&amp;vid=01CRU&amp;lang=en_US&amp;offset=0&amp;query=any,contains,991004135879702656","Catalog Record")</f>
        <v/>
      </c>
      <c r="AT496">
        <f>HYPERLINK("http://www.worldcat.org/oclc/2485964","WorldCat Record")</f>
        <v/>
      </c>
      <c r="AU496" t="inlineStr">
        <is>
          <t>1097256947:eng</t>
        </is>
      </c>
      <c r="AV496" t="inlineStr">
        <is>
          <t>2485964</t>
        </is>
      </c>
      <c r="AW496" t="inlineStr">
        <is>
          <t>991004135879702656</t>
        </is>
      </c>
      <c r="AX496" t="inlineStr">
        <is>
          <t>991004135879702656</t>
        </is>
      </c>
      <c r="AY496" t="inlineStr">
        <is>
          <t>2261724130002656</t>
        </is>
      </c>
      <c r="AZ496" t="inlineStr">
        <is>
          <t>BOOK</t>
        </is>
      </c>
      <c r="BB496" t="inlineStr">
        <is>
          <t>9780682485616</t>
        </is>
      </c>
      <c r="BC496" t="inlineStr">
        <is>
          <t>32285000965995</t>
        </is>
      </c>
      <c r="BD496" t="inlineStr">
        <is>
          <t>893888325</t>
        </is>
      </c>
    </row>
    <row r="497">
      <c r="A497" t="inlineStr">
        <is>
          <t>No</t>
        </is>
      </c>
      <c r="B497" t="inlineStr">
        <is>
          <t>BV4435 .A34</t>
        </is>
      </c>
      <c r="C497" t="inlineStr">
        <is>
          <t>0                      BV 4435000A  34</t>
        </is>
      </c>
      <c r="D497" t="inlineStr">
        <is>
          <t>Aging and the human spirit : a reader in religion and gerontology / edited by Carol LeFevre and Perry LeFevre.</t>
        </is>
      </c>
      <c r="F497" t="inlineStr">
        <is>
          <t>No</t>
        </is>
      </c>
      <c r="G497" t="inlineStr">
        <is>
          <t>1</t>
        </is>
      </c>
      <c r="H497" t="inlineStr">
        <is>
          <t>No</t>
        </is>
      </c>
      <c r="I497" t="inlineStr">
        <is>
          <t>No</t>
        </is>
      </c>
      <c r="J497" t="inlineStr">
        <is>
          <t>0</t>
        </is>
      </c>
      <c r="L497" t="inlineStr">
        <is>
          <t>Chicago : Exploration Press, c1981.</t>
        </is>
      </c>
      <c r="M497" t="inlineStr">
        <is>
          <t>1981</t>
        </is>
      </c>
      <c r="O497" t="inlineStr">
        <is>
          <t>eng</t>
        </is>
      </c>
      <c r="P497" t="inlineStr">
        <is>
          <t>ilu</t>
        </is>
      </c>
      <c r="R497" t="inlineStr">
        <is>
          <t xml:space="preserve">BV </t>
        </is>
      </c>
      <c r="S497" t="n">
        <v>1</v>
      </c>
      <c r="T497" t="n">
        <v>1</v>
      </c>
      <c r="U497" t="inlineStr">
        <is>
          <t>1994-07-31</t>
        </is>
      </c>
      <c r="V497" t="inlineStr">
        <is>
          <t>1994-07-31</t>
        </is>
      </c>
      <c r="W497" t="inlineStr">
        <is>
          <t>1992-02-25</t>
        </is>
      </c>
      <c r="X497" t="inlineStr">
        <is>
          <t>1992-02-25</t>
        </is>
      </c>
      <c r="Y497" t="n">
        <v>202</v>
      </c>
      <c r="Z497" t="n">
        <v>176</v>
      </c>
      <c r="AA497" t="n">
        <v>259</v>
      </c>
      <c r="AB497" t="n">
        <v>3</v>
      </c>
      <c r="AC497" t="n">
        <v>4</v>
      </c>
      <c r="AD497" t="n">
        <v>14</v>
      </c>
      <c r="AE497" t="n">
        <v>21</v>
      </c>
      <c r="AF497" t="n">
        <v>3</v>
      </c>
      <c r="AG497" t="n">
        <v>6</v>
      </c>
      <c r="AH497" t="n">
        <v>5</v>
      </c>
      <c r="AI497" t="n">
        <v>6</v>
      </c>
      <c r="AJ497" t="n">
        <v>7</v>
      </c>
      <c r="AK497" t="n">
        <v>12</v>
      </c>
      <c r="AL497" t="n">
        <v>2</v>
      </c>
      <c r="AM497" t="n">
        <v>3</v>
      </c>
      <c r="AN497" t="n">
        <v>0</v>
      </c>
      <c r="AO497" t="n">
        <v>0</v>
      </c>
      <c r="AP497" t="inlineStr">
        <is>
          <t>No</t>
        </is>
      </c>
      <c r="AQ497" t="inlineStr">
        <is>
          <t>Yes</t>
        </is>
      </c>
      <c r="AR497">
        <f>HYPERLINK("http://catalog.hathitrust.org/Record/000223125","HathiTrust Record")</f>
        <v/>
      </c>
      <c r="AS497">
        <f>HYPERLINK("https://creighton-primo.hosted.exlibrisgroup.com/primo-explore/search?tab=default_tab&amp;search_scope=EVERYTHING&amp;vid=01CRU&amp;lang=en_US&amp;offset=0&amp;query=any,contains,991005108419702656","Catalog Record")</f>
        <v/>
      </c>
      <c r="AT497">
        <f>HYPERLINK("http://www.worldcat.org/oclc/7376868","WorldCat Record")</f>
        <v/>
      </c>
      <c r="AU497" t="inlineStr">
        <is>
          <t>904456040:eng</t>
        </is>
      </c>
      <c r="AV497" t="inlineStr">
        <is>
          <t>7376868</t>
        </is>
      </c>
      <c r="AW497" t="inlineStr">
        <is>
          <t>991005108419702656</t>
        </is>
      </c>
      <c r="AX497" t="inlineStr">
        <is>
          <t>991005108419702656</t>
        </is>
      </c>
      <c r="AY497" t="inlineStr">
        <is>
          <t>2265489520002656</t>
        </is>
      </c>
      <c r="AZ497" t="inlineStr">
        <is>
          <t>BOOK</t>
        </is>
      </c>
      <c r="BB497" t="inlineStr">
        <is>
          <t>9780913552162</t>
        </is>
      </c>
      <c r="BC497" t="inlineStr">
        <is>
          <t>32285000966001</t>
        </is>
      </c>
      <c r="BD497" t="inlineStr">
        <is>
          <t>893701030</t>
        </is>
      </c>
    </row>
    <row r="498">
      <c r="A498" t="inlineStr">
        <is>
          <t>No</t>
        </is>
      </c>
      <c r="B498" t="inlineStr">
        <is>
          <t>BV4435 .L38</t>
        </is>
      </c>
      <c r="C498" t="inlineStr">
        <is>
          <t>0                      BV 4435000L  38</t>
        </is>
      </c>
      <c r="D498" t="inlineStr">
        <is>
          <t>Ministering to the aging : every Christian's call / Bartholomew J. Laurello ; [photo credits, Robert Beckhard ... et al. ; cover photo, Rick Smolan].</t>
        </is>
      </c>
      <c r="F498" t="inlineStr">
        <is>
          <t>No</t>
        </is>
      </c>
      <c r="G498" t="inlineStr">
        <is>
          <t>1</t>
        </is>
      </c>
      <c r="H498" t="inlineStr">
        <is>
          <t>No</t>
        </is>
      </c>
      <c r="I498" t="inlineStr">
        <is>
          <t>No</t>
        </is>
      </c>
      <c r="J498" t="inlineStr">
        <is>
          <t>0</t>
        </is>
      </c>
      <c r="K498" t="inlineStr">
        <is>
          <t>Laurello, Bartholomew J.</t>
        </is>
      </c>
      <c r="L498" t="inlineStr">
        <is>
          <t>New York : Paulist Press, 1979.</t>
        </is>
      </c>
      <c r="M498" t="inlineStr">
        <is>
          <t>1979</t>
        </is>
      </c>
      <c r="O498" t="inlineStr">
        <is>
          <t>eng</t>
        </is>
      </c>
      <c r="P498" t="inlineStr">
        <is>
          <t>nyu</t>
        </is>
      </c>
      <c r="R498" t="inlineStr">
        <is>
          <t xml:space="preserve">BV </t>
        </is>
      </c>
      <c r="S498" t="n">
        <v>2</v>
      </c>
      <c r="T498" t="n">
        <v>2</v>
      </c>
      <c r="U498" t="inlineStr">
        <is>
          <t>1994-07-25</t>
        </is>
      </c>
      <c r="V498" t="inlineStr">
        <is>
          <t>1994-07-25</t>
        </is>
      </c>
      <c r="W498" t="inlineStr">
        <is>
          <t>1992-02-25</t>
        </is>
      </c>
      <c r="X498" t="inlineStr">
        <is>
          <t>1992-02-25</t>
        </is>
      </c>
      <c r="Y498" t="n">
        <v>81</v>
      </c>
      <c r="Z498" t="n">
        <v>72</v>
      </c>
      <c r="AA498" t="n">
        <v>79</v>
      </c>
      <c r="AB498" t="n">
        <v>1</v>
      </c>
      <c r="AC498" t="n">
        <v>1</v>
      </c>
      <c r="AD498" t="n">
        <v>8</v>
      </c>
      <c r="AE498" t="n">
        <v>8</v>
      </c>
      <c r="AF498" t="n">
        <v>2</v>
      </c>
      <c r="AG498" t="n">
        <v>2</v>
      </c>
      <c r="AH498" t="n">
        <v>1</v>
      </c>
      <c r="AI498" t="n">
        <v>1</v>
      </c>
      <c r="AJ498" t="n">
        <v>6</v>
      </c>
      <c r="AK498" t="n">
        <v>6</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HYPERLINK("https://creighton-primo.hosted.exlibrisgroup.com/primo-explore/search?tab=default_tab&amp;search_scope=EVERYTHING&amp;vid=01CRU&amp;lang=en_US&amp;offset=0&amp;query=any,contains,991004919139702656","Catalog Record")</f>
        <v/>
      </c>
      <c r="AT498">
        <f>HYPERLINK("http://www.worldcat.org/oclc/6040932","WorldCat Record")</f>
        <v/>
      </c>
      <c r="AU498" t="inlineStr">
        <is>
          <t>466227:eng</t>
        </is>
      </c>
      <c r="AV498" t="inlineStr">
        <is>
          <t>6040932</t>
        </is>
      </c>
      <c r="AW498" t="inlineStr">
        <is>
          <t>991004919139702656</t>
        </is>
      </c>
      <c r="AX498" t="inlineStr">
        <is>
          <t>991004919139702656</t>
        </is>
      </c>
      <c r="AY498" t="inlineStr">
        <is>
          <t>2259464240002656</t>
        </is>
      </c>
      <c r="AZ498" t="inlineStr">
        <is>
          <t>BOOK</t>
        </is>
      </c>
      <c r="BC498" t="inlineStr">
        <is>
          <t>32285000966035</t>
        </is>
      </c>
      <c r="BD498" t="inlineStr">
        <is>
          <t>893795405</t>
        </is>
      </c>
    </row>
    <row r="499">
      <c r="A499" t="inlineStr">
        <is>
          <t>No</t>
        </is>
      </c>
      <c r="B499" t="inlineStr">
        <is>
          <t>BV4435 .M33</t>
        </is>
      </c>
      <c r="C499" t="inlineStr">
        <is>
          <t>0                      BV 4435000M  33</t>
        </is>
      </c>
      <c r="D499" t="inlineStr">
        <is>
          <t>Claiming a frontier : ministry and older people / Robert W. McClellan ; [illustrator, Kim Rarig].</t>
        </is>
      </c>
      <c r="F499" t="inlineStr">
        <is>
          <t>No</t>
        </is>
      </c>
      <c r="G499" t="inlineStr">
        <is>
          <t>1</t>
        </is>
      </c>
      <c r="H499" t="inlineStr">
        <is>
          <t>No</t>
        </is>
      </c>
      <c r="I499" t="inlineStr">
        <is>
          <t>No</t>
        </is>
      </c>
      <c r="J499" t="inlineStr">
        <is>
          <t>0</t>
        </is>
      </c>
      <c r="K499" t="inlineStr">
        <is>
          <t>McClellan, Robert W.</t>
        </is>
      </c>
      <c r="L499" t="inlineStr">
        <is>
          <t>[Los Angeles] : Ethel Percy Andrus Gerontology Center, University of Southern California, c1977, 1979 printing.</t>
        </is>
      </c>
      <c r="M499" t="inlineStr">
        <is>
          <t>1977</t>
        </is>
      </c>
      <c r="O499" t="inlineStr">
        <is>
          <t>eng</t>
        </is>
      </c>
      <c r="P499" t="inlineStr">
        <is>
          <t>cau</t>
        </is>
      </c>
      <c r="R499" t="inlineStr">
        <is>
          <t xml:space="preserve">BV </t>
        </is>
      </c>
      <c r="S499" t="n">
        <v>2</v>
      </c>
      <c r="T499" t="n">
        <v>2</v>
      </c>
      <c r="U499" t="inlineStr">
        <is>
          <t>1994-07-25</t>
        </is>
      </c>
      <c r="V499" t="inlineStr">
        <is>
          <t>1994-07-25</t>
        </is>
      </c>
      <c r="W499" t="inlineStr">
        <is>
          <t>1992-02-25</t>
        </is>
      </c>
      <c r="X499" t="inlineStr">
        <is>
          <t>1992-02-25</t>
        </is>
      </c>
      <c r="Y499" t="n">
        <v>234</v>
      </c>
      <c r="Z499" t="n">
        <v>223</v>
      </c>
      <c r="AA499" t="n">
        <v>230</v>
      </c>
      <c r="AB499" t="n">
        <v>2</v>
      </c>
      <c r="AC499" t="n">
        <v>2</v>
      </c>
      <c r="AD499" t="n">
        <v>10</v>
      </c>
      <c r="AE499" t="n">
        <v>10</v>
      </c>
      <c r="AF499" t="n">
        <v>4</v>
      </c>
      <c r="AG499" t="n">
        <v>4</v>
      </c>
      <c r="AH499" t="n">
        <v>1</v>
      </c>
      <c r="AI499" t="n">
        <v>1</v>
      </c>
      <c r="AJ499" t="n">
        <v>6</v>
      </c>
      <c r="AK499" t="n">
        <v>6</v>
      </c>
      <c r="AL499" t="n">
        <v>1</v>
      </c>
      <c r="AM499" t="n">
        <v>1</v>
      </c>
      <c r="AN499" t="n">
        <v>0</v>
      </c>
      <c r="AO499" t="n">
        <v>0</v>
      </c>
      <c r="AP499" t="inlineStr">
        <is>
          <t>No</t>
        </is>
      </c>
      <c r="AQ499" t="inlineStr">
        <is>
          <t>Yes</t>
        </is>
      </c>
      <c r="AR499">
        <f>HYPERLINK("http://catalog.hathitrust.org/Record/000742570","HathiTrust Record")</f>
        <v/>
      </c>
      <c r="AS499">
        <f>HYPERLINK("https://creighton-primo.hosted.exlibrisgroup.com/primo-explore/search?tab=default_tab&amp;search_scope=EVERYTHING&amp;vid=01CRU&amp;lang=en_US&amp;offset=0&amp;query=any,contains,991004462219702656","Catalog Record")</f>
        <v/>
      </c>
      <c r="AT499">
        <f>HYPERLINK("http://www.worldcat.org/oclc/3547531","WorldCat Record")</f>
        <v/>
      </c>
      <c r="AU499" t="inlineStr">
        <is>
          <t>11520773:eng</t>
        </is>
      </c>
      <c r="AV499" t="inlineStr">
        <is>
          <t>3547531</t>
        </is>
      </c>
      <c r="AW499" t="inlineStr">
        <is>
          <t>991004462219702656</t>
        </is>
      </c>
      <c r="AX499" t="inlineStr">
        <is>
          <t>991004462219702656</t>
        </is>
      </c>
      <c r="AY499" t="inlineStr">
        <is>
          <t>2263975190002656</t>
        </is>
      </c>
      <c r="AZ499" t="inlineStr">
        <is>
          <t>BOOK</t>
        </is>
      </c>
      <c r="BB499" t="inlineStr">
        <is>
          <t>9780884740407</t>
        </is>
      </c>
      <c r="BC499" t="inlineStr">
        <is>
          <t>32285000966092</t>
        </is>
      </c>
      <c r="BD499" t="inlineStr">
        <is>
          <t>893442640</t>
        </is>
      </c>
    </row>
    <row r="500">
      <c r="A500" t="inlineStr">
        <is>
          <t>No</t>
        </is>
      </c>
      <c r="B500" t="inlineStr">
        <is>
          <t>BV4435 .M56 1981</t>
        </is>
      </c>
      <c r="C500" t="inlineStr">
        <is>
          <t>0                      BV 4435000M  56          1981</t>
        </is>
      </c>
      <c r="D500" t="inlineStr">
        <is>
          <t>Ministry with the aging / edited by William M. Clements.</t>
        </is>
      </c>
      <c r="F500" t="inlineStr">
        <is>
          <t>No</t>
        </is>
      </c>
      <c r="G500" t="inlineStr">
        <is>
          <t>1</t>
        </is>
      </c>
      <c r="H500" t="inlineStr">
        <is>
          <t>No</t>
        </is>
      </c>
      <c r="I500" t="inlineStr">
        <is>
          <t>No</t>
        </is>
      </c>
      <c r="J500" t="inlineStr">
        <is>
          <t>0</t>
        </is>
      </c>
      <c r="L500" t="inlineStr">
        <is>
          <t>San Francisco : Harper &amp; Row, c1981.</t>
        </is>
      </c>
      <c r="M500" t="inlineStr">
        <is>
          <t>1981</t>
        </is>
      </c>
      <c r="N500" t="inlineStr">
        <is>
          <t>1st ed.</t>
        </is>
      </c>
      <c r="O500" t="inlineStr">
        <is>
          <t>eng</t>
        </is>
      </c>
      <c r="P500" t="inlineStr">
        <is>
          <t>cau</t>
        </is>
      </c>
      <c r="R500" t="inlineStr">
        <is>
          <t xml:space="preserve">BV </t>
        </is>
      </c>
      <c r="S500" t="n">
        <v>2</v>
      </c>
      <c r="T500" t="n">
        <v>2</v>
      </c>
      <c r="U500" t="inlineStr">
        <is>
          <t>1994-11-21</t>
        </is>
      </c>
      <c r="V500" t="inlineStr">
        <is>
          <t>1994-11-21</t>
        </is>
      </c>
      <c r="W500" t="inlineStr">
        <is>
          <t>1992-02-25</t>
        </is>
      </c>
      <c r="X500" t="inlineStr">
        <is>
          <t>1992-02-25</t>
        </is>
      </c>
      <c r="Y500" t="n">
        <v>561</v>
      </c>
      <c r="Z500" t="n">
        <v>505</v>
      </c>
      <c r="AA500" t="n">
        <v>601</v>
      </c>
      <c r="AB500" t="n">
        <v>4</v>
      </c>
      <c r="AC500" t="n">
        <v>4</v>
      </c>
      <c r="AD500" t="n">
        <v>25</v>
      </c>
      <c r="AE500" t="n">
        <v>26</v>
      </c>
      <c r="AF500" t="n">
        <v>9</v>
      </c>
      <c r="AG500" t="n">
        <v>10</v>
      </c>
      <c r="AH500" t="n">
        <v>5</v>
      </c>
      <c r="AI500" t="n">
        <v>5</v>
      </c>
      <c r="AJ500" t="n">
        <v>11</v>
      </c>
      <c r="AK500" t="n">
        <v>12</v>
      </c>
      <c r="AL500" t="n">
        <v>3</v>
      </c>
      <c r="AM500" t="n">
        <v>3</v>
      </c>
      <c r="AN500" t="n">
        <v>0</v>
      </c>
      <c r="AO500" t="n">
        <v>0</v>
      </c>
      <c r="AP500" t="inlineStr">
        <is>
          <t>No</t>
        </is>
      </c>
      <c r="AQ500" t="inlineStr">
        <is>
          <t>Yes</t>
        </is>
      </c>
      <c r="AR500">
        <f>HYPERLINK("http://catalog.hathitrust.org/Record/000717102","HathiTrust Record")</f>
        <v/>
      </c>
      <c r="AS500">
        <f>HYPERLINK("https://creighton-primo.hosted.exlibrisgroup.com/primo-explore/search?tab=default_tab&amp;search_scope=EVERYTHING&amp;vid=01CRU&amp;lang=en_US&amp;offset=0&amp;query=any,contains,991005020829702656","Catalog Record")</f>
        <v/>
      </c>
      <c r="AT500">
        <f>HYPERLINK("http://www.worldcat.org/oclc/6649608","WorldCat Record")</f>
        <v/>
      </c>
      <c r="AU500" t="inlineStr">
        <is>
          <t>54397170:eng</t>
        </is>
      </c>
      <c r="AV500" t="inlineStr">
        <is>
          <t>6649608</t>
        </is>
      </c>
      <c r="AW500" t="inlineStr">
        <is>
          <t>991005020829702656</t>
        </is>
      </c>
      <c r="AX500" t="inlineStr">
        <is>
          <t>991005020829702656</t>
        </is>
      </c>
      <c r="AY500" t="inlineStr">
        <is>
          <t>2265920670002656</t>
        </is>
      </c>
      <c r="AZ500" t="inlineStr">
        <is>
          <t>BOOK</t>
        </is>
      </c>
      <c r="BB500" t="inlineStr">
        <is>
          <t>9780060614966</t>
        </is>
      </c>
      <c r="BC500" t="inlineStr">
        <is>
          <t>32285000966050</t>
        </is>
      </c>
      <c r="BD500" t="inlineStr">
        <is>
          <t>893619332</t>
        </is>
      </c>
    </row>
    <row r="501">
      <c r="A501" t="inlineStr">
        <is>
          <t>No</t>
        </is>
      </c>
      <c r="B501" t="inlineStr">
        <is>
          <t>BV4437.5 .G73 1997</t>
        </is>
      </c>
      <c r="C501" t="inlineStr">
        <is>
          <t>0                      BV 4437500G  73          1997</t>
        </is>
      </c>
      <c r="D501" t="inlineStr">
        <is>
          <t>Discovering images of God : narratives of care among lesbians and gays / Larry Kent Graham.</t>
        </is>
      </c>
      <c r="F501" t="inlineStr">
        <is>
          <t>No</t>
        </is>
      </c>
      <c r="G501" t="inlineStr">
        <is>
          <t>1</t>
        </is>
      </c>
      <c r="H501" t="inlineStr">
        <is>
          <t>No</t>
        </is>
      </c>
      <c r="I501" t="inlineStr">
        <is>
          <t>No</t>
        </is>
      </c>
      <c r="J501" t="inlineStr">
        <is>
          <t>0</t>
        </is>
      </c>
      <c r="K501" t="inlineStr">
        <is>
          <t>Graham, Larry Kent.</t>
        </is>
      </c>
      <c r="L501" t="inlineStr">
        <is>
          <t>Louisville, Ky. : Westminster John Knox Press, c1997.</t>
        </is>
      </c>
      <c r="M501" t="inlineStr">
        <is>
          <t>1997</t>
        </is>
      </c>
      <c r="N501" t="inlineStr">
        <is>
          <t>1st ed.</t>
        </is>
      </c>
      <c r="O501" t="inlineStr">
        <is>
          <t>eng</t>
        </is>
      </c>
      <c r="P501" t="inlineStr">
        <is>
          <t>kyu</t>
        </is>
      </c>
      <c r="R501" t="inlineStr">
        <is>
          <t xml:space="preserve">BV </t>
        </is>
      </c>
      <c r="S501" t="n">
        <v>1</v>
      </c>
      <c r="T501" t="n">
        <v>1</v>
      </c>
      <c r="U501" t="inlineStr">
        <is>
          <t>1998-09-15</t>
        </is>
      </c>
      <c r="V501" t="inlineStr">
        <is>
          <t>1998-09-15</t>
        </is>
      </c>
      <c r="W501" t="inlineStr">
        <is>
          <t>1998-08-26</t>
        </is>
      </c>
      <c r="X501" t="inlineStr">
        <is>
          <t>1998-08-26</t>
        </is>
      </c>
      <c r="Y501" t="n">
        <v>198</v>
      </c>
      <c r="Z501" t="n">
        <v>168</v>
      </c>
      <c r="AA501" t="n">
        <v>477</v>
      </c>
      <c r="AB501" t="n">
        <v>2</v>
      </c>
      <c r="AC501" t="n">
        <v>2</v>
      </c>
      <c r="AD501" t="n">
        <v>10</v>
      </c>
      <c r="AE501" t="n">
        <v>13</v>
      </c>
      <c r="AF501" t="n">
        <v>2</v>
      </c>
      <c r="AG501" t="n">
        <v>5</v>
      </c>
      <c r="AH501" t="n">
        <v>2</v>
      </c>
      <c r="AI501" t="n">
        <v>3</v>
      </c>
      <c r="AJ501" t="n">
        <v>6</v>
      </c>
      <c r="AK501" t="n">
        <v>6</v>
      </c>
      <c r="AL501" t="n">
        <v>1</v>
      </c>
      <c r="AM501" t="n">
        <v>1</v>
      </c>
      <c r="AN501" t="n">
        <v>0</v>
      </c>
      <c r="AO501" t="n">
        <v>0</v>
      </c>
      <c r="AP501" t="inlineStr">
        <is>
          <t>No</t>
        </is>
      </c>
      <c r="AQ501" t="inlineStr">
        <is>
          <t>Yes</t>
        </is>
      </c>
      <c r="AR501">
        <f>HYPERLINK("http://catalog.hathitrust.org/Record/003159020","HathiTrust Record")</f>
        <v/>
      </c>
      <c r="AS501">
        <f>HYPERLINK("https://creighton-primo.hosted.exlibrisgroup.com/primo-explore/search?tab=default_tab&amp;search_scope=EVERYTHING&amp;vid=01CRU&amp;lang=en_US&amp;offset=0&amp;query=any,contains,991002713779702656","Catalog Record")</f>
        <v/>
      </c>
      <c r="AT501">
        <f>HYPERLINK("http://www.worldcat.org/oclc/35593630","WorldCat Record")</f>
        <v/>
      </c>
      <c r="AU501" t="inlineStr">
        <is>
          <t>1032930:eng</t>
        </is>
      </c>
      <c r="AV501" t="inlineStr">
        <is>
          <t>35593630</t>
        </is>
      </c>
      <c r="AW501" t="inlineStr">
        <is>
          <t>991002713779702656</t>
        </is>
      </c>
      <c r="AX501" t="inlineStr">
        <is>
          <t>991002713779702656</t>
        </is>
      </c>
      <c r="AY501" t="inlineStr">
        <is>
          <t>2272102710002656</t>
        </is>
      </c>
      <c r="AZ501" t="inlineStr">
        <is>
          <t>BOOK</t>
        </is>
      </c>
      <c r="BB501" t="inlineStr">
        <is>
          <t>9780664256265</t>
        </is>
      </c>
      <c r="BC501" t="inlineStr">
        <is>
          <t>32285003463030</t>
        </is>
      </c>
      <c r="BD501" t="inlineStr">
        <is>
          <t>893245546</t>
        </is>
      </c>
    </row>
    <row r="502">
      <c r="A502" t="inlineStr">
        <is>
          <t>No</t>
        </is>
      </c>
      <c r="B502" t="inlineStr">
        <is>
          <t>BV4438 .C37</t>
        </is>
      </c>
      <c r="C502" t="inlineStr">
        <is>
          <t>0                      BV 4438000C  37</t>
        </is>
      </c>
      <c r="D502" t="inlineStr">
        <is>
          <t>A vision and strategy : the plan of pastoral action for family ministry / National Conference of Catholic Bishops, United States Catholic Conference. --</t>
        </is>
      </c>
      <c r="F502" t="inlineStr">
        <is>
          <t>No</t>
        </is>
      </c>
      <c r="G502" t="inlineStr">
        <is>
          <t>1</t>
        </is>
      </c>
      <c r="H502" t="inlineStr">
        <is>
          <t>No</t>
        </is>
      </c>
      <c r="I502" t="inlineStr">
        <is>
          <t>No</t>
        </is>
      </c>
      <c r="J502" t="inlineStr">
        <is>
          <t>0</t>
        </is>
      </c>
      <c r="K502" t="inlineStr">
        <is>
          <t>Catholic Church. National Conference of Catholic Bishops.</t>
        </is>
      </c>
      <c r="L502" t="inlineStr">
        <is>
          <t>[Washington, D.C.] : U.S. Catholic Conference, 1978.</t>
        </is>
      </c>
      <c r="M502" t="inlineStr">
        <is>
          <t>1978</t>
        </is>
      </c>
      <c r="O502" t="inlineStr">
        <is>
          <t>eng</t>
        </is>
      </c>
      <c r="P502" t="inlineStr">
        <is>
          <t>dcu</t>
        </is>
      </c>
      <c r="R502" t="inlineStr">
        <is>
          <t xml:space="preserve">BV </t>
        </is>
      </c>
      <c r="S502" t="n">
        <v>3</v>
      </c>
      <c r="T502" t="n">
        <v>3</v>
      </c>
      <c r="U502" t="inlineStr">
        <is>
          <t>1999-10-22</t>
        </is>
      </c>
      <c r="V502" t="inlineStr">
        <is>
          <t>1999-10-22</t>
        </is>
      </c>
      <c r="W502" t="inlineStr">
        <is>
          <t>1992-02-25</t>
        </is>
      </c>
      <c r="X502" t="inlineStr">
        <is>
          <t>1992-02-25</t>
        </is>
      </c>
      <c r="Y502" t="n">
        <v>47</v>
      </c>
      <c r="Z502" t="n">
        <v>42</v>
      </c>
      <c r="AA502" t="n">
        <v>42</v>
      </c>
      <c r="AB502" t="n">
        <v>1</v>
      </c>
      <c r="AC502" t="n">
        <v>1</v>
      </c>
      <c r="AD502" t="n">
        <v>7</v>
      </c>
      <c r="AE502" t="n">
        <v>7</v>
      </c>
      <c r="AF502" t="n">
        <v>0</v>
      </c>
      <c r="AG502" t="n">
        <v>0</v>
      </c>
      <c r="AH502" t="n">
        <v>2</v>
      </c>
      <c r="AI502" t="n">
        <v>2</v>
      </c>
      <c r="AJ502" t="n">
        <v>7</v>
      </c>
      <c r="AK502" t="n">
        <v>7</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HYPERLINK("https://creighton-primo.hosted.exlibrisgroup.com/primo-explore/search?tab=default_tab&amp;search_scope=EVERYTHING&amp;vid=01CRU&amp;lang=en_US&amp;offset=0&amp;query=any,contains,991004672989702656","Catalog Record")</f>
        <v/>
      </c>
      <c r="AT502">
        <f>HYPERLINK("http://www.worldcat.org/oclc/4521549","WorldCat Record")</f>
        <v/>
      </c>
      <c r="AU502" t="inlineStr">
        <is>
          <t>2643152168:eng</t>
        </is>
      </c>
      <c r="AV502" t="inlineStr">
        <is>
          <t>4521549</t>
        </is>
      </c>
      <c r="AW502" t="inlineStr">
        <is>
          <t>991004672989702656</t>
        </is>
      </c>
      <c r="AX502" t="inlineStr">
        <is>
          <t>991004672989702656</t>
        </is>
      </c>
      <c r="AY502" t="inlineStr">
        <is>
          <t>2270454210002656</t>
        </is>
      </c>
      <c r="AZ502" t="inlineStr">
        <is>
          <t>BOOK</t>
        </is>
      </c>
      <c r="BC502" t="inlineStr">
        <is>
          <t>32285000966084</t>
        </is>
      </c>
      <c r="BD502" t="inlineStr">
        <is>
          <t>893519922</t>
        </is>
      </c>
    </row>
    <row r="503">
      <c r="A503" t="inlineStr">
        <is>
          <t>No</t>
        </is>
      </c>
      <c r="B503" t="inlineStr">
        <is>
          <t>BV4438 .C38 1994</t>
        </is>
      </c>
      <c r="C503" t="inlineStr">
        <is>
          <t>0                      BV 4438000C  38          1994</t>
        </is>
      </c>
      <c r="D503" t="inlineStr">
        <is>
          <t>Follow the way of love : a pastoral message of the U.S. Catholic Bishops to families ; on the occasion of the United Nations 1994 International Year of the Family / National Conference of Catholic Bishops.</t>
        </is>
      </c>
      <c r="F503" t="inlineStr">
        <is>
          <t>No</t>
        </is>
      </c>
      <c r="G503" t="inlineStr">
        <is>
          <t>1</t>
        </is>
      </c>
      <c r="H503" t="inlineStr">
        <is>
          <t>No</t>
        </is>
      </c>
      <c r="I503" t="inlineStr">
        <is>
          <t>No</t>
        </is>
      </c>
      <c r="J503" t="inlineStr">
        <is>
          <t>0</t>
        </is>
      </c>
      <c r="K503" t="inlineStr">
        <is>
          <t>Catholic Church. National Conference of Catholic Bishops.</t>
        </is>
      </c>
      <c r="L503" t="inlineStr">
        <is>
          <t>Washington, D.C. : Office for Publishing and Promotion Services, United States Catholic Conference, c1994.</t>
        </is>
      </c>
      <c r="M503" t="inlineStr">
        <is>
          <t>1994</t>
        </is>
      </c>
      <c r="O503" t="inlineStr">
        <is>
          <t>eng</t>
        </is>
      </c>
      <c r="P503" t="inlineStr">
        <is>
          <t>dcu</t>
        </is>
      </c>
      <c r="Q503" t="inlineStr">
        <is>
          <t>Publication / United States Catholic Conference, Office for Publishing and Promotion Services ; no. 677-8</t>
        </is>
      </c>
      <c r="R503" t="inlineStr">
        <is>
          <t xml:space="preserve">BV </t>
        </is>
      </c>
      <c r="S503" t="n">
        <v>6</v>
      </c>
      <c r="T503" t="n">
        <v>6</v>
      </c>
      <c r="U503" t="inlineStr">
        <is>
          <t>1999-10-22</t>
        </is>
      </c>
      <c r="V503" t="inlineStr">
        <is>
          <t>1999-10-22</t>
        </is>
      </c>
      <c r="W503" t="inlineStr">
        <is>
          <t>1994-03-22</t>
        </is>
      </c>
      <c r="X503" t="inlineStr">
        <is>
          <t>1994-03-22</t>
        </is>
      </c>
      <c r="Y503" t="n">
        <v>75</v>
      </c>
      <c r="Z503" t="n">
        <v>75</v>
      </c>
      <c r="AA503" t="n">
        <v>75</v>
      </c>
      <c r="AB503" t="n">
        <v>1</v>
      </c>
      <c r="AC503" t="n">
        <v>1</v>
      </c>
      <c r="AD503" t="n">
        <v>13</v>
      </c>
      <c r="AE503" t="n">
        <v>13</v>
      </c>
      <c r="AF503" t="n">
        <v>2</v>
      </c>
      <c r="AG503" t="n">
        <v>2</v>
      </c>
      <c r="AH503" t="n">
        <v>5</v>
      </c>
      <c r="AI503" t="n">
        <v>5</v>
      </c>
      <c r="AJ503" t="n">
        <v>10</v>
      </c>
      <c r="AK503" t="n">
        <v>10</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HYPERLINK("https://creighton-primo.hosted.exlibrisgroup.com/primo-explore/search?tab=default_tab&amp;search_scope=EVERYTHING&amp;vid=01CRU&amp;lang=en_US&amp;offset=0&amp;query=any,contains,991002301399702656","Catalog Record")</f>
        <v/>
      </c>
      <c r="AT503">
        <f>HYPERLINK("http://www.worldcat.org/oclc/29850131","WorldCat Record")</f>
        <v/>
      </c>
      <c r="AU503" t="inlineStr">
        <is>
          <t>31659365:eng</t>
        </is>
      </c>
      <c r="AV503" t="inlineStr">
        <is>
          <t>29850131</t>
        </is>
      </c>
      <c r="AW503" t="inlineStr">
        <is>
          <t>991002301399702656</t>
        </is>
      </c>
      <c r="AX503" t="inlineStr">
        <is>
          <t>991002301399702656</t>
        </is>
      </c>
      <c r="AY503" t="inlineStr">
        <is>
          <t>2270338400002656</t>
        </is>
      </c>
      <c r="AZ503" t="inlineStr">
        <is>
          <t>BOOK</t>
        </is>
      </c>
      <c r="BB503" t="inlineStr">
        <is>
          <t>9781555866778</t>
        </is>
      </c>
      <c r="BC503" t="inlineStr">
        <is>
          <t>32285001862589</t>
        </is>
      </c>
      <c r="BD503" t="inlineStr">
        <is>
          <t>893804440</t>
        </is>
      </c>
    </row>
    <row r="504">
      <c r="A504" t="inlineStr">
        <is>
          <t>No</t>
        </is>
      </c>
      <c r="B504" t="inlineStr">
        <is>
          <t>BV4438 .W67 1995</t>
        </is>
      </c>
      <c r="C504" t="inlineStr">
        <is>
          <t>0                      BV 4438000W  67          1995</t>
        </is>
      </c>
      <c r="D504" t="inlineStr">
        <is>
          <t>Work, family, and religion in contemporary society / edited by Nancy Tatom Ammerman and Wade Clark Roof.</t>
        </is>
      </c>
      <c r="F504" t="inlineStr">
        <is>
          <t>No</t>
        </is>
      </c>
      <c r="G504" t="inlineStr">
        <is>
          <t>1</t>
        </is>
      </c>
      <c r="H504" t="inlineStr">
        <is>
          <t>No</t>
        </is>
      </c>
      <c r="I504" t="inlineStr">
        <is>
          <t>No</t>
        </is>
      </c>
      <c r="J504" t="inlineStr">
        <is>
          <t>0</t>
        </is>
      </c>
      <c r="L504" t="inlineStr">
        <is>
          <t>New York : Routledge, 1995.</t>
        </is>
      </c>
      <c r="M504" t="inlineStr">
        <is>
          <t>1995</t>
        </is>
      </c>
      <c r="O504" t="inlineStr">
        <is>
          <t>eng</t>
        </is>
      </c>
      <c r="P504" t="inlineStr">
        <is>
          <t>nyu</t>
        </is>
      </c>
      <c r="R504" t="inlineStr">
        <is>
          <t xml:space="preserve">BV </t>
        </is>
      </c>
      <c r="S504" t="n">
        <v>5</v>
      </c>
      <c r="T504" t="n">
        <v>5</v>
      </c>
      <c r="U504" t="inlineStr">
        <is>
          <t>2001-05-01</t>
        </is>
      </c>
      <c r="V504" t="inlineStr">
        <is>
          <t>2001-05-01</t>
        </is>
      </c>
      <c r="W504" t="inlineStr">
        <is>
          <t>1995-11-15</t>
        </is>
      </c>
      <c r="X504" t="inlineStr">
        <is>
          <t>1995-11-15</t>
        </is>
      </c>
      <c r="Y504" t="n">
        <v>304</v>
      </c>
      <c r="Z504" t="n">
        <v>255</v>
      </c>
      <c r="AA504" t="n">
        <v>289</v>
      </c>
      <c r="AB504" t="n">
        <v>3</v>
      </c>
      <c r="AC504" t="n">
        <v>3</v>
      </c>
      <c r="AD504" t="n">
        <v>19</v>
      </c>
      <c r="AE504" t="n">
        <v>19</v>
      </c>
      <c r="AF504" t="n">
        <v>10</v>
      </c>
      <c r="AG504" t="n">
        <v>10</v>
      </c>
      <c r="AH504" t="n">
        <v>4</v>
      </c>
      <c r="AI504" t="n">
        <v>4</v>
      </c>
      <c r="AJ504" t="n">
        <v>11</v>
      </c>
      <c r="AK504" t="n">
        <v>11</v>
      </c>
      <c r="AL504" t="n">
        <v>2</v>
      </c>
      <c r="AM504" t="n">
        <v>2</v>
      </c>
      <c r="AN504" t="n">
        <v>0</v>
      </c>
      <c r="AO504" t="n">
        <v>0</v>
      </c>
      <c r="AP504" t="inlineStr">
        <is>
          <t>No</t>
        </is>
      </c>
      <c r="AQ504" t="inlineStr">
        <is>
          <t>Yes</t>
        </is>
      </c>
      <c r="AR504">
        <f>HYPERLINK("http://catalog.hathitrust.org/Record/002997497","HathiTrust Record")</f>
        <v/>
      </c>
      <c r="AS504">
        <f>HYPERLINK("https://creighton-primo.hosted.exlibrisgroup.com/primo-explore/search?tab=default_tab&amp;search_scope=EVERYTHING&amp;vid=01CRU&amp;lang=en_US&amp;offset=0&amp;query=any,contains,991002392799702656","Catalog Record")</f>
        <v/>
      </c>
      <c r="AT504">
        <f>HYPERLINK("http://www.worldcat.org/oclc/31075724","WorldCat Record")</f>
        <v/>
      </c>
      <c r="AU504" t="inlineStr">
        <is>
          <t>32996574:eng</t>
        </is>
      </c>
      <c r="AV504" t="inlineStr">
        <is>
          <t>31075724</t>
        </is>
      </c>
      <c r="AW504" t="inlineStr">
        <is>
          <t>991002392799702656</t>
        </is>
      </c>
      <c r="AX504" t="inlineStr">
        <is>
          <t>991002392799702656</t>
        </is>
      </c>
      <c r="AY504" t="inlineStr">
        <is>
          <t>2269670880002656</t>
        </is>
      </c>
      <c r="AZ504" t="inlineStr">
        <is>
          <t>BOOK</t>
        </is>
      </c>
      <c r="BB504" t="inlineStr">
        <is>
          <t>9780415911719</t>
        </is>
      </c>
      <c r="BC504" t="inlineStr">
        <is>
          <t>32285002098530</t>
        </is>
      </c>
      <c r="BD504" t="inlineStr">
        <is>
          <t>893329015</t>
        </is>
      </c>
    </row>
    <row r="505">
      <c r="A505" t="inlineStr">
        <is>
          <t>No</t>
        </is>
      </c>
      <c r="B505" t="inlineStr">
        <is>
          <t>BV4438.5 .F67 1991</t>
        </is>
      </c>
      <c r="C505" t="inlineStr">
        <is>
          <t>0                      BV 4438500F  67          1991</t>
        </is>
      </c>
      <c r="D505" t="inlineStr">
        <is>
          <t>Violence in the family : a workshop curriculum for clergy and other helpers / Marie M. Fortune.</t>
        </is>
      </c>
      <c r="F505" t="inlineStr">
        <is>
          <t>No</t>
        </is>
      </c>
      <c r="G505" t="inlineStr">
        <is>
          <t>1</t>
        </is>
      </c>
      <c r="H505" t="inlineStr">
        <is>
          <t>No</t>
        </is>
      </c>
      <c r="I505" t="inlineStr">
        <is>
          <t>No</t>
        </is>
      </c>
      <c r="J505" t="inlineStr">
        <is>
          <t>0</t>
        </is>
      </c>
      <c r="K505" t="inlineStr">
        <is>
          <t>Fortune, Marie M.</t>
        </is>
      </c>
      <c r="L505" t="inlineStr">
        <is>
          <t>Cleveland, Ohio : Pilgrim Press, c1991.</t>
        </is>
      </c>
      <c r="M505" t="inlineStr">
        <is>
          <t>1991</t>
        </is>
      </c>
      <c r="O505" t="inlineStr">
        <is>
          <t>eng</t>
        </is>
      </c>
      <c r="P505" t="inlineStr">
        <is>
          <t>ohu</t>
        </is>
      </c>
      <c r="R505" t="inlineStr">
        <is>
          <t xml:space="preserve">BV </t>
        </is>
      </c>
      <c r="S505" t="n">
        <v>5</v>
      </c>
      <c r="T505" t="n">
        <v>5</v>
      </c>
      <c r="U505" t="inlineStr">
        <is>
          <t>2000-04-25</t>
        </is>
      </c>
      <c r="V505" t="inlineStr">
        <is>
          <t>2000-04-25</t>
        </is>
      </c>
      <c r="W505" t="inlineStr">
        <is>
          <t>1995-12-11</t>
        </is>
      </c>
      <c r="X505" t="inlineStr">
        <is>
          <t>1995-12-11</t>
        </is>
      </c>
      <c r="Y505" t="n">
        <v>154</v>
      </c>
      <c r="Z505" t="n">
        <v>131</v>
      </c>
      <c r="AA505" t="n">
        <v>144</v>
      </c>
      <c r="AB505" t="n">
        <v>2</v>
      </c>
      <c r="AC505" t="n">
        <v>2</v>
      </c>
      <c r="AD505" t="n">
        <v>5</v>
      </c>
      <c r="AE505" t="n">
        <v>7</v>
      </c>
      <c r="AF505" t="n">
        <v>1</v>
      </c>
      <c r="AG505" t="n">
        <v>2</v>
      </c>
      <c r="AH505" t="n">
        <v>0</v>
      </c>
      <c r="AI505" t="n">
        <v>0</v>
      </c>
      <c r="AJ505" t="n">
        <v>4</v>
      </c>
      <c r="AK505" t="n">
        <v>5</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HYPERLINK("https://creighton-primo.hosted.exlibrisgroup.com/primo-explore/search?tab=default_tab&amp;search_scope=EVERYTHING&amp;vid=01CRU&amp;lang=en_US&amp;offset=0&amp;query=any,contains,991001893169702656","Catalog Record")</f>
        <v/>
      </c>
      <c r="AT505">
        <f>HYPERLINK("http://www.worldcat.org/oclc/23901888","WorldCat Record")</f>
        <v/>
      </c>
      <c r="AU505" t="inlineStr">
        <is>
          <t>19197250:eng</t>
        </is>
      </c>
      <c r="AV505" t="inlineStr">
        <is>
          <t>23901888</t>
        </is>
      </c>
      <c r="AW505" t="inlineStr">
        <is>
          <t>991001893169702656</t>
        </is>
      </c>
      <c r="AX505" t="inlineStr">
        <is>
          <t>991001893169702656</t>
        </is>
      </c>
      <c r="AY505" t="inlineStr">
        <is>
          <t>2262289560002656</t>
        </is>
      </c>
      <c r="AZ505" t="inlineStr">
        <is>
          <t>BOOK</t>
        </is>
      </c>
      <c r="BC505" t="inlineStr">
        <is>
          <t>32285002110749</t>
        </is>
      </c>
      <c r="BD505" t="inlineStr">
        <is>
          <t>893516644</t>
        </is>
      </c>
    </row>
    <row r="506">
      <c r="A506" t="inlineStr">
        <is>
          <t>No</t>
        </is>
      </c>
      <c r="B506" t="inlineStr">
        <is>
          <t>BV4445 .H833 1992</t>
        </is>
      </c>
      <c r="C506" t="inlineStr">
        <is>
          <t>0                      BV 4445000H  833         1992</t>
        </is>
      </c>
      <c r="D506" t="inlineStr">
        <is>
          <t>Women : the misunderstood majority / M. Gay Hubbard.</t>
        </is>
      </c>
      <c r="F506" t="inlineStr">
        <is>
          <t>No</t>
        </is>
      </c>
      <c r="G506" t="inlineStr">
        <is>
          <t>1</t>
        </is>
      </c>
      <c r="H506" t="inlineStr">
        <is>
          <t>No</t>
        </is>
      </c>
      <c r="I506" t="inlineStr">
        <is>
          <t>No</t>
        </is>
      </c>
      <c r="J506" t="inlineStr">
        <is>
          <t>0</t>
        </is>
      </c>
      <c r="K506" t="inlineStr">
        <is>
          <t>Hubbard, M. Gay, 1931-</t>
        </is>
      </c>
      <c r="L506" t="inlineStr">
        <is>
          <t>[Irving, Tex.] : Word, c1992.</t>
        </is>
      </c>
      <c r="M506" t="inlineStr">
        <is>
          <t>1992</t>
        </is>
      </c>
      <c r="O506" t="inlineStr">
        <is>
          <t>eng</t>
        </is>
      </c>
      <c r="P506" t="inlineStr">
        <is>
          <t>txu</t>
        </is>
      </c>
      <c r="Q506" t="inlineStr">
        <is>
          <t>Contemporary Christian counseling</t>
        </is>
      </c>
      <c r="R506" t="inlineStr">
        <is>
          <t xml:space="preserve">BV </t>
        </is>
      </c>
      <c r="S506" t="n">
        <v>2</v>
      </c>
      <c r="T506" t="n">
        <v>2</v>
      </c>
      <c r="U506" t="inlineStr">
        <is>
          <t>2006-04-14</t>
        </is>
      </c>
      <c r="V506" t="inlineStr">
        <is>
          <t>2006-04-14</t>
        </is>
      </c>
      <c r="W506" t="inlineStr">
        <is>
          <t>2006-04-14</t>
        </is>
      </c>
      <c r="X506" t="inlineStr">
        <is>
          <t>2006-04-14</t>
        </is>
      </c>
      <c r="Y506" t="n">
        <v>150</v>
      </c>
      <c r="Z506" t="n">
        <v>134</v>
      </c>
      <c r="AA506" t="n">
        <v>146</v>
      </c>
      <c r="AB506" t="n">
        <v>3</v>
      </c>
      <c r="AC506" t="n">
        <v>4</v>
      </c>
      <c r="AD506" t="n">
        <v>4</v>
      </c>
      <c r="AE506" t="n">
        <v>6</v>
      </c>
      <c r="AF506" t="n">
        <v>3</v>
      </c>
      <c r="AG506" t="n">
        <v>4</v>
      </c>
      <c r="AH506" t="n">
        <v>0</v>
      </c>
      <c r="AI506" t="n">
        <v>1</v>
      </c>
      <c r="AJ506" t="n">
        <v>1</v>
      </c>
      <c r="AK506" t="n">
        <v>1</v>
      </c>
      <c r="AL506" t="n">
        <v>1</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HYPERLINK("https://creighton-primo.hosted.exlibrisgroup.com/primo-explore/search?tab=default_tab&amp;search_scope=EVERYTHING&amp;vid=01CRU&amp;lang=en_US&amp;offset=0&amp;query=any,contains,991004794989702656","Catalog Record")</f>
        <v/>
      </c>
      <c r="AT506">
        <f>HYPERLINK("http://www.worldcat.org/oclc/26096335","WorldCat Record")</f>
        <v/>
      </c>
      <c r="AU506" t="inlineStr">
        <is>
          <t>16669473:eng</t>
        </is>
      </c>
      <c r="AV506" t="inlineStr">
        <is>
          <t>26096335</t>
        </is>
      </c>
      <c r="AW506" t="inlineStr">
        <is>
          <t>991004794989702656</t>
        </is>
      </c>
      <c r="AX506" t="inlineStr">
        <is>
          <t>991004794989702656</t>
        </is>
      </c>
      <c r="AY506" t="inlineStr">
        <is>
          <t>2268211350002656</t>
        </is>
      </c>
      <c r="AZ506" t="inlineStr">
        <is>
          <t>BOOK</t>
        </is>
      </c>
      <c r="BB506" t="inlineStr">
        <is>
          <t>9780849908347</t>
        </is>
      </c>
      <c r="BC506" t="inlineStr">
        <is>
          <t>32285005181747</t>
        </is>
      </c>
      <c r="BD506" t="inlineStr">
        <is>
          <t>893260178</t>
        </is>
      </c>
    </row>
    <row r="507">
      <c r="A507" t="inlineStr">
        <is>
          <t>No</t>
        </is>
      </c>
      <c r="B507" t="inlineStr">
        <is>
          <t>BV4445.5 .S44 1987</t>
        </is>
      </c>
      <c r="C507" t="inlineStr">
        <is>
          <t>0                      BV 4445500S  44          1987</t>
        </is>
      </c>
      <c r="D507" t="inlineStr">
        <is>
          <t>Sexual assault and abuse : a handbook for clergy and religious professionals / edited by Mary D. Pellauer, Barbara Chester, Jane A. Boyajian.</t>
        </is>
      </c>
      <c r="F507" t="inlineStr">
        <is>
          <t>No</t>
        </is>
      </c>
      <c r="G507" t="inlineStr">
        <is>
          <t>1</t>
        </is>
      </c>
      <c r="H507" t="inlineStr">
        <is>
          <t>No</t>
        </is>
      </c>
      <c r="I507" t="inlineStr">
        <is>
          <t>No</t>
        </is>
      </c>
      <c r="J507" t="inlineStr">
        <is>
          <t>0</t>
        </is>
      </c>
      <c r="L507" t="inlineStr">
        <is>
          <t>San Francisco : Harper &amp; Row, c1987.</t>
        </is>
      </c>
      <c r="M507" t="inlineStr">
        <is>
          <t>1987</t>
        </is>
      </c>
      <c r="N507" t="inlineStr">
        <is>
          <t>1st ed.</t>
        </is>
      </c>
      <c r="O507" t="inlineStr">
        <is>
          <t>eng</t>
        </is>
      </c>
      <c r="P507" t="inlineStr">
        <is>
          <t>cau</t>
        </is>
      </c>
      <c r="R507" t="inlineStr">
        <is>
          <t xml:space="preserve">BV </t>
        </is>
      </c>
      <c r="S507" t="n">
        <v>5</v>
      </c>
      <c r="T507" t="n">
        <v>5</v>
      </c>
      <c r="U507" t="inlineStr">
        <is>
          <t>1992-11-07</t>
        </is>
      </c>
      <c r="V507" t="inlineStr">
        <is>
          <t>1992-11-07</t>
        </is>
      </c>
      <c r="W507" t="inlineStr">
        <is>
          <t>1992-02-25</t>
        </is>
      </c>
      <c r="X507" t="inlineStr">
        <is>
          <t>1992-02-25</t>
        </is>
      </c>
      <c r="Y507" t="n">
        <v>328</v>
      </c>
      <c r="Z507" t="n">
        <v>291</v>
      </c>
      <c r="AA507" t="n">
        <v>358</v>
      </c>
      <c r="AB507" t="n">
        <v>4</v>
      </c>
      <c r="AC507" t="n">
        <v>5</v>
      </c>
      <c r="AD507" t="n">
        <v>11</v>
      </c>
      <c r="AE507" t="n">
        <v>17</v>
      </c>
      <c r="AF507" t="n">
        <v>4</v>
      </c>
      <c r="AG507" t="n">
        <v>6</v>
      </c>
      <c r="AH507" t="n">
        <v>1</v>
      </c>
      <c r="AI507" t="n">
        <v>3</v>
      </c>
      <c r="AJ507" t="n">
        <v>7</v>
      </c>
      <c r="AK507" t="n">
        <v>9</v>
      </c>
      <c r="AL507" t="n">
        <v>3</v>
      </c>
      <c r="AM507" t="n">
        <v>4</v>
      </c>
      <c r="AN507" t="n">
        <v>0</v>
      </c>
      <c r="AO507" t="n">
        <v>0</v>
      </c>
      <c r="AP507" t="inlineStr">
        <is>
          <t>No</t>
        </is>
      </c>
      <c r="AQ507" t="inlineStr">
        <is>
          <t>Yes</t>
        </is>
      </c>
      <c r="AR507">
        <f>HYPERLINK("http://catalog.hathitrust.org/Record/006019324","HathiTrust Record")</f>
        <v/>
      </c>
      <c r="AS507">
        <f>HYPERLINK("https://creighton-primo.hosted.exlibrisgroup.com/primo-explore/search?tab=default_tab&amp;search_scope=EVERYTHING&amp;vid=01CRU&amp;lang=en_US&amp;offset=0&amp;query=any,contains,991000967249702656","Catalog Record")</f>
        <v/>
      </c>
      <c r="AT507">
        <f>HYPERLINK("http://www.worldcat.org/oclc/14931005","WorldCat Record")</f>
        <v/>
      </c>
      <c r="AU507" t="inlineStr">
        <is>
          <t>836694429:eng</t>
        </is>
      </c>
      <c r="AV507" t="inlineStr">
        <is>
          <t>14931005</t>
        </is>
      </c>
      <c r="AW507" t="inlineStr">
        <is>
          <t>991000967249702656</t>
        </is>
      </c>
      <c r="AX507" t="inlineStr">
        <is>
          <t>991000967249702656</t>
        </is>
      </c>
      <c r="AY507" t="inlineStr">
        <is>
          <t>2257220380002656</t>
        </is>
      </c>
      <c r="AZ507" t="inlineStr">
        <is>
          <t>BOOK</t>
        </is>
      </c>
      <c r="BB507" t="inlineStr">
        <is>
          <t>9780062548108</t>
        </is>
      </c>
      <c r="BC507" t="inlineStr">
        <is>
          <t>32285000966100</t>
        </is>
      </c>
      <c r="BD507" t="inlineStr">
        <is>
          <t>893534375</t>
        </is>
      </c>
    </row>
    <row r="508">
      <c r="A508" t="inlineStr">
        <is>
          <t>No</t>
        </is>
      </c>
      <c r="B508" t="inlineStr">
        <is>
          <t>BV4446 .S73 2001</t>
        </is>
      </c>
      <c r="C508" t="inlineStr">
        <is>
          <t>0                      BV 4446000S  73          2001</t>
        </is>
      </c>
      <c r="D508" t="inlineStr">
        <is>
          <t>Starting right : thinking theologically about youth ministry / [editedby] Kenda Creasy Dean, Chap Clark, David Rahn.</t>
        </is>
      </c>
      <c r="F508" t="inlineStr">
        <is>
          <t>No</t>
        </is>
      </c>
      <c r="G508" t="inlineStr">
        <is>
          <t>1</t>
        </is>
      </c>
      <c r="H508" t="inlineStr">
        <is>
          <t>No</t>
        </is>
      </c>
      <c r="I508" t="inlineStr">
        <is>
          <t>No</t>
        </is>
      </c>
      <c r="J508" t="inlineStr">
        <is>
          <t>0</t>
        </is>
      </c>
      <c r="L508" t="inlineStr">
        <is>
          <t>Grand Rapids, Mich. : Youth Specialties/Zondervan Pub. House, c2001.</t>
        </is>
      </c>
      <c r="M508" t="inlineStr">
        <is>
          <t>2001</t>
        </is>
      </c>
      <c r="O508" t="inlineStr">
        <is>
          <t>eng</t>
        </is>
      </c>
      <c r="P508" t="inlineStr">
        <is>
          <t>miu</t>
        </is>
      </c>
      <c r="R508" t="inlineStr">
        <is>
          <t xml:space="preserve">BV </t>
        </is>
      </c>
      <c r="S508" t="n">
        <v>4</v>
      </c>
      <c r="T508" t="n">
        <v>4</v>
      </c>
      <c r="U508" t="inlineStr">
        <is>
          <t>2007-08-02</t>
        </is>
      </c>
      <c r="V508" t="inlineStr">
        <is>
          <t>2007-08-02</t>
        </is>
      </c>
      <c r="W508" t="inlineStr">
        <is>
          <t>2001-08-07</t>
        </is>
      </c>
      <c r="X508" t="inlineStr">
        <is>
          <t>2001-08-07</t>
        </is>
      </c>
      <c r="Y508" t="n">
        <v>299</v>
      </c>
      <c r="Z508" t="n">
        <v>249</v>
      </c>
      <c r="AA508" t="n">
        <v>267</v>
      </c>
      <c r="AB508" t="n">
        <v>3</v>
      </c>
      <c r="AC508" t="n">
        <v>3</v>
      </c>
      <c r="AD508" t="n">
        <v>10</v>
      </c>
      <c r="AE508" t="n">
        <v>10</v>
      </c>
      <c r="AF508" t="n">
        <v>6</v>
      </c>
      <c r="AG508" t="n">
        <v>6</v>
      </c>
      <c r="AH508" t="n">
        <v>0</v>
      </c>
      <c r="AI508" t="n">
        <v>0</v>
      </c>
      <c r="AJ508" t="n">
        <v>3</v>
      </c>
      <c r="AK508" t="n">
        <v>3</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HYPERLINK("https://creighton-primo.hosted.exlibrisgroup.com/primo-explore/search?tab=default_tab&amp;search_scope=EVERYTHING&amp;vid=01CRU&amp;lang=en_US&amp;offset=0&amp;query=any,contains,991003577029702656","Catalog Record")</f>
        <v/>
      </c>
      <c r="AT508">
        <f>HYPERLINK("http://www.worldcat.org/oclc/44885141","WorldCat Record")</f>
        <v/>
      </c>
      <c r="AU508" t="inlineStr">
        <is>
          <t>796516136:eng</t>
        </is>
      </c>
      <c r="AV508" t="inlineStr">
        <is>
          <t>44885141</t>
        </is>
      </c>
      <c r="AW508" t="inlineStr">
        <is>
          <t>991003577029702656</t>
        </is>
      </c>
      <c r="AX508" t="inlineStr">
        <is>
          <t>991003577029702656</t>
        </is>
      </c>
      <c r="AY508" t="inlineStr">
        <is>
          <t>2259680380002656</t>
        </is>
      </c>
      <c r="AZ508" t="inlineStr">
        <is>
          <t>BOOK</t>
        </is>
      </c>
      <c r="BB508" t="inlineStr">
        <is>
          <t>9780310234067</t>
        </is>
      </c>
      <c r="BC508" t="inlineStr">
        <is>
          <t>32285004376330</t>
        </is>
      </c>
      <c r="BD508" t="inlineStr">
        <is>
          <t>893518635</t>
        </is>
      </c>
    </row>
    <row r="509">
      <c r="A509" t="inlineStr">
        <is>
          <t>No</t>
        </is>
      </c>
      <c r="B509" t="inlineStr">
        <is>
          <t>BV4447 .A85 1997</t>
        </is>
      </c>
      <c r="C509" t="inlineStr">
        <is>
          <t>0                      BV 4447000A  85          1997</t>
        </is>
      </c>
      <c r="D509" t="inlineStr">
        <is>
          <t>Ministry with youth in crisis / Harley Atkinson.</t>
        </is>
      </c>
      <c r="F509" t="inlineStr">
        <is>
          <t>No</t>
        </is>
      </c>
      <c r="G509" t="inlineStr">
        <is>
          <t>1</t>
        </is>
      </c>
      <c r="H509" t="inlineStr">
        <is>
          <t>No</t>
        </is>
      </c>
      <c r="I509" t="inlineStr">
        <is>
          <t>No</t>
        </is>
      </c>
      <c r="J509" t="inlineStr">
        <is>
          <t>0</t>
        </is>
      </c>
      <c r="K509" t="inlineStr">
        <is>
          <t>Atkinson, Harley.</t>
        </is>
      </c>
      <c r="L509" t="inlineStr">
        <is>
          <t>Birmingham, Ala. : Religious Education Press, 1997.</t>
        </is>
      </c>
      <c r="M509" t="inlineStr">
        <is>
          <t>1997</t>
        </is>
      </c>
      <c r="O509" t="inlineStr">
        <is>
          <t>eng</t>
        </is>
      </c>
      <c r="P509" t="inlineStr">
        <is>
          <t>alu</t>
        </is>
      </c>
      <c r="R509" t="inlineStr">
        <is>
          <t xml:space="preserve">BV </t>
        </is>
      </c>
      <c r="S509" t="n">
        <v>2</v>
      </c>
      <c r="T509" t="n">
        <v>2</v>
      </c>
      <c r="U509" t="inlineStr">
        <is>
          <t>2005-02-22</t>
        </is>
      </c>
      <c r="V509" t="inlineStr">
        <is>
          <t>2005-02-22</t>
        </is>
      </c>
      <c r="W509" t="inlineStr">
        <is>
          <t>1997-07-02</t>
        </is>
      </c>
      <c r="X509" t="inlineStr">
        <is>
          <t>1997-07-02</t>
        </is>
      </c>
      <c r="Y509" t="n">
        <v>251</v>
      </c>
      <c r="Z509" t="n">
        <v>222</v>
      </c>
      <c r="AA509" t="n">
        <v>251</v>
      </c>
      <c r="AB509" t="n">
        <v>3</v>
      </c>
      <c r="AC509" t="n">
        <v>3</v>
      </c>
      <c r="AD509" t="n">
        <v>19</v>
      </c>
      <c r="AE509" t="n">
        <v>19</v>
      </c>
      <c r="AF509" t="n">
        <v>8</v>
      </c>
      <c r="AG509" t="n">
        <v>8</v>
      </c>
      <c r="AH509" t="n">
        <v>3</v>
      </c>
      <c r="AI509" t="n">
        <v>3</v>
      </c>
      <c r="AJ509" t="n">
        <v>10</v>
      </c>
      <c r="AK509" t="n">
        <v>10</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HYPERLINK("https://creighton-primo.hosted.exlibrisgroup.com/primo-explore/search?tab=default_tab&amp;search_scope=EVERYTHING&amp;vid=01CRU&amp;lang=en_US&amp;offset=0&amp;query=any,contains,991002724349702656","Catalog Record")</f>
        <v/>
      </c>
      <c r="AT509">
        <f>HYPERLINK("http://www.worldcat.org/oclc/35723631","WorldCat Record")</f>
        <v/>
      </c>
      <c r="AU509" t="inlineStr">
        <is>
          <t>40862662:eng</t>
        </is>
      </c>
      <c r="AV509" t="inlineStr">
        <is>
          <t>35723631</t>
        </is>
      </c>
      <c r="AW509" t="inlineStr">
        <is>
          <t>991002724349702656</t>
        </is>
      </c>
      <c r="AX509" t="inlineStr">
        <is>
          <t>991002724349702656</t>
        </is>
      </c>
      <c r="AY509" t="inlineStr">
        <is>
          <t>2255223570002656</t>
        </is>
      </c>
      <c r="AZ509" t="inlineStr">
        <is>
          <t>BOOK</t>
        </is>
      </c>
      <c r="BB509" t="inlineStr">
        <is>
          <t>9780891350996</t>
        </is>
      </c>
      <c r="BC509" t="inlineStr">
        <is>
          <t>32285002880432</t>
        </is>
      </c>
      <c r="BD509" t="inlineStr">
        <is>
          <t>893899136</t>
        </is>
      </c>
    </row>
    <row r="510">
      <c r="A510" t="inlineStr">
        <is>
          <t>No</t>
        </is>
      </c>
      <c r="B510" t="inlineStr">
        <is>
          <t>BV4447 .L825 1979</t>
        </is>
      </c>
      <c r="C510" t="inlineStr">
        <is>
          <t>0                      BV 4447000L  825         1979</t>
        </is>
      </c>
      <c r="D510" t="inlineStr">
        <is>
          <t>Building an effective youth ministry / Glenn E. Ludwig.</t>
        </is>
      </c>
      <c r="F510" t="inlineStr">
        <is>
          <t>No</t>
        </is>
      </c>
      <c r="G510" t="inlineStr">
        <is>
          <t>1</t>
        </is>
      </c>
      <c r="H510" t="inlineStr">
        <is>
          <t>No</t>
        </is>
      </c>
      <c r="I510" t="inlineStr">
        <is>
          <t>No</t>
        </is>
      </c>
      <c r="J510" t="inlineStr">
        <is>
          <t>0</t>
        </is>
      </c>
      <c r="K510" t="inlineStr">
        <is>
          <t>Ludwig, Glenn E., 1946-</t>
        </is>
      </c>
      <c r="L510" t="inlineStr">
        <is>
          <t>Nashville : Abingdon, c1979, 1985 printing.</t>
        </is>
      </c>
      <c r="M510" t="inlineStr">
        <is>
          <t>1979</t>
        </is>
      </c>
      <c r="O510" t="inlineStr">
        <is>
          <t>eng</t>
        </is>
      </c>
      <c r="P510" t="inlineStr">
        <is>
          <t>tnu</t>
        </is>
      </c>
      <c r="Q510" t="inlineStr">
        <is>
          <t>An Abingdon original paperback</t>
        </is>
      </c>
      <c r="R510" t="inlineStr">
        <is>
          <t xml:space="preserve">BV </t>
        </is>
      </c>
      <c r="S510" t="n">
        <v>5</v>
      </c>
      <c r="T510" t="n">
        <v>5</v>
      </c>
      <c r="U510" t="inlineStr">
        <is>
          <t>2001-06-24</t>
        </is>
      </c>
      <c r="V510" t="inlineStr">
        <is>
          <t>2001-06-24</t>
        </is>
      </c>
      <c r="W510" t="inlineStr">
        <is>
          <t>1992-02-25</t>
        </is>
      </c>
      <c r="X510" t="inlineStr">
        <is>
          <t>1992-02-25</t>
        </is>
      </c>
      <c r="Y510" t="n">
        <v>264</v>
      </c>
      <c r="Z510" t="n">
        <v>228</v>
      </c>
      <c r="AA510" t="n">
        <v>228</v>
      </c>
      <c r="AB510" t="n">
        <v>4</v>
      </c>
      <c r="AC510" t="n">
        <v>4</v>
      </c>
      <c r="AD510" t="n">
        <v>8</v>
      </c>
      <c r="AE510" t="n">
        <v>8</v>
      </c>
      <c r="AF510" t="n">
        <v>4</v>
      </c>
      <c r="AG510" t="n">
        <v>4</v>
      </c>
      <c r="AH510" t="n">
        <v>0</v>
      </c>
      <c r="AI510" t="n">
        <v>0</v>
      </c>
      <c r="AJ510" t="n">
        <v>2</v>
      </c>
      <c r="AK510" t="n">
        <v>2</v>
      </c>
      <c r="AL510" t="n">
        <v>2</v>
      </c>
      <c r="AM510" t="n">
        <v>2</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HYPERLINK("https://creighton-primo.hosted.exlibrisgroup.com/primo-explore/search?tab=default_tab&amp;search_scope=EVERYTHING&amp;vid=01CRU&amp;lang=en_US&amp;offset=0&amp;query=any,contains,991004737049702656","Catalog Record")</f>
        <v/>
      </c>
      <c r="AT510">
        <f>HYPERLINK("http://www.worldcat.org/oclc/4858036","WorldCat Record")</f>
        <v/>
      </c>
      <c r="AU510" t="inlineStr">
        <is>
          <t>434276:eng</t>
        </is>
      </c>
      <c r="AV510" t="inlineStr">
        <is>
          <t>4858036</t>
        </is>
      </c>
      <c r="AW510" t="inlineStr">
        <is>
          <t>991004737049702656</t>
        </is>
      </c>
      <c r="AX510" t="inlineStr">
        <is>
          <t>991004737049702656</t>
        </is>
      </c>
      <c r="AY510" t="inlineStr">
        <is>
          <t>2265205860002656</t>
        </is>
      </c>
      <c r="AZ510" t="inlineStr">
        <is>
          <t>BOOK</t>
        </is>
      </c>
      <c r="BB510" t="inlineStr">
        <is>
          <t>9780687039920</t>
        </is>
      </c>
      <c r="BC510" t="inlineStr">
        <is>
          <t>32285000966142</t>
        </is>
      </c>
      <c r="BD510" t="inlineStr">
        <is>
          <t>893424134</t>
        </is>
      </c>
    </row>
    <row r="511">
      <c r="A511" t="inlineStr">
        <is>
          <t>No</t>
        </is>
      </c>
      <c r="B511" t="inlineStr">
        <is>
          <t>BV4460 .B67</t>
        </is>
      </c>
      <c r="C511" t="inlineStr">
        <is>
          <t>0                      BV 4460000B  67</t>
        </is>
      </c>
      <c r="D511" t="inlineStr">
        <is>
          <t>Counseling the dying / [by] Margaretta K. Bowers [and others]</t>
        </is>
      </c>
      <c r="F511" t="inlineStr">
        <is>
          <t>No</t>
        </is>
      </c>
      <c r="G511" t="inlineStr">
        <is>
          <t>1</t>
        </is>
      </c>
      <c r="H511" t="inlineStr">
        <is>
          <t>No</t>
        </is>
      </c>
      <c r="I511" t="inlineStr">
        <is>
          <t>No</t>
        </is>
      </c>
      <c r="J511" t="inlineStr">
        <is>
          <t>0</t>
        </is>
      </c>
      <c r="K511" t="inlineStr">
        <is>
          <t>Bowers, Margaretta K.</t>
        </is>
      </c>
      <c r="L511" t="inlineStr">
        <is>
          <t>New York, Nelson [1964]</t>
        </is>
      </c>
      <c r="M511" t="inlineStr">
        <is>
          <t>1964</t>
        </is>
      </c>
      <c r="O511" t="inlineStr">
        <is>
          <t>eng</t>
        </is>
      </c>
      <c r="P511" t="inlineStr">
        <is>
          <t>___</t>
        </is>
      </c>
      <c r="R511" t="inlineStr">
        <is>
          <t xml:space="preserve">BV </t>
        </is>
      </c>
      <c r="S511" t="n">
        <v>3</v>
      </c>
      <c r="T511" t="n">
        <v>3</v>
      </c>
      <c r="U511" t="inlineStr">
        <is>
          <t>1998-01-28</t>
        </is>
      </c>
      <c r="V511" t="inlineStr">
        <is>
          <t>1998-01-28</t>
        </is>
      </c>
      <c r="W511" t="inlineStr">
        <is>
          <t>1992-02-20</t>
        </is>
      </c>
      <c r="X511" t="inlineStr">
        <is>
          <t>1992-02-20</t>
        </is>
      </c>
      <c r="Y511" t="n">
        <v>422</v>
      </c>
      <c r="Z511" t="n">
        <v>386</v>
      </c>
      <c r="AA511" t="n">
        <v>686</v>
      </c>
      <c r="AB511" t="n">
        <v>4</v>
      </c>
      <c r="AC511" t="n">
        <v>6</v>
      </c>
      <c r="AD511" t="n">
        <v>14</v>
      </c>
      <c r="AE511" t="n">
        <v>22</v>
      </c>
      <c r="AF511" t="n">
        <v>5</v>
      </c>
      <c r="AG511" t="n">
        <v>6</v>
      </c>
      <c r="AH511" t="n">
        <v>2</v>
      </c>
      <c r="AI511" t="n">
        <v>5</v>
      </c>
      <c r="AJ511" t="n">
        <v>7</v>
      </c>
      <c r="AK511" t="n">
        <v>12</v>
      </c>
      <c r="AL511" t="n">
        <v>2</v>
      </c>
      <c r="AM511" t="n">
        <v>3</v>
      </c>
      <c r="AN511" t="n">
        <v>0</v>
      </c>
      <c r="AO511" t="n">
        <v>0</v>
      </c>
      <c r="AP511" t="inlineStr">
        <is>
          <t>No</t>
        </is>
      </c>
      <c r="AQ511" t="inlineStr">
        <is>
          <t>Yes</t>
        </is>
      </c>
      <c r="AR511">
        <f>HYPERLINK("http://catalog.hathitrust.org/Record/001414706","HathiTrust Record")</f>
        <v/>
      </c>
      <c r="AS511">
        <f>HYPERLINK("https://creighton-primo.hosted.exlibrisgroup.com/primo-explore/search?tab=default_tab&amp;search_scope=EVERYTHING&amp;vid=01CRU&amp;lang=en_US&amp;offset=0&amp;query=any,contains,991003449309702656","Catalog Record")</f>
        <v/>
      </c>
      <c r="AT511">
        <f>HYPERLINK("http://www.worldcat.org/oclc/985437","WorldCat Record")</f>
        <v/>
      </c>
      <c r="AU511" t="inlineStr">
        <is>
          <t>54430707:eng</t>
        </is>
      </c>
      <c r="AV511" t="inlineStr">
        <is>
          <t>985437</t>
        </is>
      </c>
      <c r="AW511" t="inlineStr">
        <is>
          <t>991003449309702656</t>
        </is>
      </c>
      <c r="AX511" t="inlineStr">
        <is>
          <t>991003449309702656</t>
        </is>
      </c>
      <c r="AY511" t="inlineStr">
        <is>
          <t>2271459150002656</t>
        </is>
      </c>
      <c r="AZ511" t="inlineStr">
        <is>
          <t>BOOK</t>
        </is>
      </c>
      <c r="BC511" t="inlineStr">
        <is>
          <t>32285000972447</t>
        </is>
      </c>
      <c r="BD511" t="inlineStr">
        <is>
          <t>893893726</t>
        </is>
      </c>
    </row>
    <row r="512">
      <c r="A512" t="inlineStr">
        <is>
          <t>No</t>
        </is>
      </c>
      <c r="B512" t="inlineStr">
        <is>
          <t>BV4460.3 .C6 1992</t>
        </is>
      </c>
      <c r="C512" t="inlineStr">
        <is>
          <t>0                      BV 4460300C  6           1992</t>
        </is>
      </c>
      <c r="D512" t="inlineStr">
        <is>
          <t>Communities of hope : parishes and substance abuse : a practical guide / developed by the Bishops' Committee on Domestic Policy and the Bishops' Committee on International Policy of the United States Catholic Conference.</t>
        </is>
      </c>
      <c r="F512" t="inlineStr">
        <is>
          <t>No</t>
        </is>
      </c>
      <c r="G512" t="inlineStr">
        <is>
          <t>1</t>
        </is>
      </c>
      <c r="H512" t="inlineStr">
        <is>
          <t>No</t>
        </is>
      </c>
      <c r="I512" t="inlineStr">
        <is>
          <t>No</t>
        </is>
      </c>
      <c r="J512" t="inlineStr">
        <is>
          <t>0</t>
        </is>
      </c>
      <c r="L512" t="inlineStr">
        <is>
          <t>Washington, D.C. : United States Catholic Conference, 1992.</t>
        </is>
      </c>
      <c r="M512" t="inlineStr">
        <is>
          <t>1992</t>
        </is>
      </c>
      <c r="O512" t="inlineStr">
        <is>
          <t>eng</t>
        </is>
      </c>
      <c r="P512" t="inlineStr">
        <is>
          <t>dcu</t>
        </is>
      </c>
      <c r="Q512" t="inlineStr">
        <is>
          <t>Publication / Office for Publishing and Promotion Services, United States Catholic Conference ; no. 473-2</t>
        </is>
      </c>
      <c r="R512" t="inlineStr">
        <is>
          <t xml:space="preserve">BV </t>
        </is>
      </c>
      <c r="S512" t="n">
        <v>2</v>
      </c>
      <c r="T512" t="n">
        <v>2</v>
      </c>
      <c r="U512" t="inlineStr">
        <is>
          <t>1997-02-26</t>
        </is>
      </c>
      <c r="V512" t="inlineStr">
        <is>
          <t>1997-02-26</t>
        </is>
      </c>
      <c r="W512" t="inlineStr">
        <is>
          <t>1992-08-25</t>
        </is>
      </c>
      <c r="X512" t="inlineStr">
        <is>
          <t>1992-08-25</t>
        </is>
      </c>
      <c r="Y512" t="n">
        <v>53</v>
      </c>
      <c r="Z512" t="n">
        <v>52</v>
      </c>
      <c r="AA512" t="n">
        <v>52</v>
      </c>
      <c r="AB512" t="n">
        <v>1</v>
      </c>
      <c r="AC512" t="n">
        <v>1</v>
      </c>
      <c r="AD512" t="n">
        <v>9</v>
      </c>
      <c r="AE512" t="n">
        <v>9</v>
      </c>
      <c r="AF512" t="n">
        <v>3</v>
      </c>
      <c r="AG512" t="n">
        <v>3</v>
      </c>
      <c r="AH512" t="n">
        <v>4</v>
      </c>
      <c r="AI512" t="n">
        <v>4</v>
      </c>
      <c r="AJ512" t="n">
        <v>6</v>
      </c>
      <c r="AK512" t="n">
        <v>6</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HYPERLINK("https://creighton-primo.hosted.exlibrisgroup.com/primo-explore/search?tab=default_tab&amp;search_scope=EVERYTHING&amp;vid=01CRU&amp;lang=en_US&amp;offset=0&amp;query=any,contains,991002043329702656","Catalog Record")</f>
        <v/>
      </c>
      <c r="AT512">
        <f>HYPERLINK("http://www.worldcat.org/oclc/26082248","WorldCat Record")</f>
        <v/>
      </c>
      <c r="AU512" t="inlineStr">
        <is>
          <t>28844907:eng</t>
        </is>
      </c>
      <c r="AV512" t="inlineStr">
        <is>
          <t>26082248</t>
        </is>
      </c>
      <c r="AW512" t="inlineStr">
        <is>
          <t>991002043329702656</t>
        </is>
      </c>
      <c r="AX512" t="inlineStr">
        <is>
          <t>991002043329702656</t>
        </is>
      </c>
      <c r="AY512" t="inlineStr">
        <is>
          <t>2266961500002656</t>
        </is>
      </c>
      <c r="AZ512" t="inlineStr">
        <is>
          <t>BOOK</t>
        </is>
      </c>
      <c r="BB512" t="inlineStr">
        <is>
          <t>9781555864736</t>
        </is>
      </c>
      <c r="BC512" t="inlineStr">
        <is>
          <t>32285001262822</t>
        </is>
      </c>
      <c r="BD512" t="inlineStr">
        <is>
          <t>893439701</t>
        </is>
      </c>
    </row>
    <row r="513">
      <c r="A513" t="inlineStr">
        <is>
          <t>No</t>
        </is>
      </c>
      <c r="B513" t="inlineStr">
        <is>
          <t>BV4460.6 .A38 1999</t>
        </is>
      </c>
      <c r="C513" t="inlineStr">
        <is>
          <t>0                      BV 4460600A  38          1999</t>
        </is>
      </c>
      <c r="D513" t="inlineStr">
        <is>
          <t>Letting go : caring for the dying and the bereaved / Ian Ainsworth-Smith and Peter Speck.</t>
        </is>
      </c>
      <c r="F513" t="inlineStr">
        <is>
          <t>No</t>
        </is>
      </c>
      <c r="G513" t="inlineStr">
        <is>
          <t>1</t>
        </is>
      </c>
      <c r="H513" t="inlineStr">
        <is>
          <t>No</t>
        </is>
      </c>
      <c r="I513" t="inlineStr">
        <is>
          <t>No</t>
        </is>
      </c>
      <c r="J513" t="inlineStr">
        <is>
          <t>0</t>
        </is>
      </c>
      <c r="K513" t="inlineStr">
        <is>
          <t>Ainsworth-Smith, Ian.</t>
        </is>
      </c>
      <c r="L513" t="inlineStr">
        <is>
          <t>London : SPCK, c1999.</t>
        </is>
      </c>
      <c r="M513" t="inlineStr">
        <is>
          <t>1999</t>
        </is>
      </c>
      <c r="N513" t="inlineStr">
        <is>
          <t>New ed.</t>
        </is>
      </c>
      <c r="O513" t="inlineStr">
        <is>
          <t>eng</t>
        </is>
      </c>
      <c r="P513" t="inlineStr">
        <is>
          <t>enk</t>
        </is>
      </c>
      <c r="Q513" t="inlineStr">
        <is>
          <t>New library of pastoral care</t>
        </is>
      </c>
      <c r="R513" t="inlineStr">
        <is>
          <t xml:space="preserve">BV </t>
        </is>
      </c>
      <c r="S513" t="n">
        <v>2</v>
      </c>
      <c r="T513" t="n">
        <v>2</v>
      </c>
      <c r="U513" t="inlineStr">
        <is>
          <t>2004-05-06</t>
        </is>
      </c>
      <c r="V513" t="inlineStr">
        <is>
          <t>2004-05-06</t>
        </is>
      </c>
      <c r="W513" t="inlineStr">
        <is>
          <t>2000-02-02</t>
        </is>
      </c>
      <c r="X513" t="inlineStr">
        <is>
          <t>2000-02-02</t>
        </is>
      </c>
      <c r="Y513" t="n">
        <v>41</v>
      </c>
      <c r="Z513" t="n">
        <v>17</v>
      </c>
      <c r="AA513" t="n">
        <v>88</v>
      </c>
      <c r="AB513" t="n">
        <v>1</v>
      </c>
      <c r="AC513" t="n">
        <v>2</v>
      </c>
      <c r="AD513" t="n">
        <v>1</v>
      </c>
      <c r="AE513" t="n">
        <v>6</v>
      </c>
      <c r="AF513" t="n">
        <v>1</v>
      </c>
      <c r="AG513" t="n">
        <v>3</v>
      </c>
      <c r="AH513" t="n">
        <v>0</v>
      </c>
      <c r="AI513" t="n">
        <v>0</v>
      </c>
      <c r="AJ513" t="n">
        <v>0</v>
      </c>
      <c r="AK513" t="n">
        <v>3</v>
      </c>
      <c r="AL513" t="n">
        <v>0</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HYPERLINK("https://creighton-primo.hosted.exlibrisgroup.com/primo-explore/search?tab=default_tab&amp;search_scope=EVERYTHING&amp;vid=01CRU&amp;lang=en_US&amp;offset=0&amp;query=any,contains,991003052079702656","Catalog Record")</f>
        <v/>
      </c>
      <c r="AT513">
        <f>HYPERLINK("http://www.worldcat.org/oclc/43289863","WorldCat Record")</f>
        <v/>
      </c>
      <c r="AU513" t="inlineStr">
        <is>
          <t>3329290:eng</t>
        </is>
      </c>
      <c r="AV513" t="inlineStr">
        <is>
          <t>43289863</t>
        </is>
      </c>
      <c r="AW513" t="inlineStr">
        <is>
          <t>991003052079702656</t>
        </is>
      </c>
      <c r="AX513" t="inlineStr">
        <is>
          <t>991003052079702656</t>
        </is>
      </c>
      <c r="AY513" t="inlineStr">
        <is>
          <t>2267709940002656</t>
        </is>
      </c>
      <c r="AZ513" t="inlineStr">
        <is>
          <t>BOOK</t>
        </is>
      </c>
      <c r="BC513" t="inlineStr">
        <is>
          <t>32285003657995</t>
        </is>
      </c>
      <c r="BD513" t="inlineStr">
        <is>
          <t>893604400</t>
        </is>
      </c>
    </row>
    <row r="514">
      <c r="A514" t="inlineStr">
        <is>
          <t>No</t>
        </is>
      </c>
      <c r="B514" t="inlineStr">
        <is>
          <t>BV4460.6 .D76 1987</t>
        </is>
      </c>
      <c r="C514" t="inlineStr">
        <is>
          <t>0                      BV 4460600D  76          1987</t>
        </is>
      </c>
      <c r="D514" t="inlineStr">
        <is>
          <t>Guided grief imagery : a resource for grief ministry and death education / Thomas A. Droege.</t>
        </is>
      </c>
      <c r="F514" t="inlineStr">
        <is>
          <t>No</t>
        </is>
      </c>
      <c r="G514" t="inlineStr">
        <is>
          <t>1</t>
        </is>
      </c>
      <c r="H514" t="inlineStr">
        <is>
          <t>No</t>
        </is>
      </c>
      <c r="I514" t="inlineStr">
        <is>
          <t>No</t>
        </is>
      </c>
      <c r="J514" t="inlineStr">
        <is>
          <t>0</t>
        </is>
      </c>
      <c r="K514" t="inlineStr">
        <is>
          <t>Droege, Thomas A. (Thomas Arthur), 1931-</t>
        </is>
      </c>
      <c r="L514" t="inlineStr">
        <is>
          <t>New York : Paulist Press, c1987.</t>
        </is>
      </c>
      <c r="M514" t="inlineStr">
        <is>
          <t>1987</t>
        </is>
      </c>
      <c r="O514" t="inlineStr">
        <is>
          <t>eng</t>
        </is>
      </c>
      <c r="P514" t="inlineStr">
        <is>
          <t>nyu</t>
        </is>
      </c>
      <c r="R514" t="inlineStr">
        <is>
          <t xml:space="preserve">BV </t>
        </is>
      </c>
      <c r="S514" t="n">
        <v>2</v>
      </c>
      <c r="T514" t="n">
        <v>2</v>
      </c>
      <c r="U514" t="inlineStr">
        <is>
          <t>2002-08-06</t>
        </is>
      </c>
      <c r="V514" t="inlineStr">
        <is>
          <t>2002-08-06</t>
        </is>
      </c>
      <c r="W514" t="inlineStr">
        <is>
          <t>2002-08-06</t>
        </is>
      </c>
      <c r="X514" t="inlineStr">
        <is>
          <t>2002-08-06</t>
        </is>
      </c>
      <c r="Y514" t="n">
        <v>125</v>
      </c>
      <c r="Z514" t="n">
        <v>107</v>
      </c>
      <c r="AA514" t="n">
        <v>107</v>
      </c>
      <c r="AB514" t="n">
        <v>1</v>
      </c>
      <c r="AC514" t="n">
        <v>1</v>
      </c>
      <c r="AD514" t="n">
        <v>11</v>
      </c>
      <c r="AE514" t="n">
        <v>11</v>
      </c>
      <c r="AF514" t="n">
        <v>4</v>
      </c>
      <c r="AG514" t="n">
        <v>4</v>
      </c>
      <c r="AH514" t="n">
        <v>1</v>
      </c>
      <c r="AI514" t="n">
        <v>1</v>
      </c>
      <c r="AJ514" t="n">
        <v>8</v>
      </c>
      <c r="AK514" t="n">
        <v>8</v>
      </c>
      <c r="AL514" t="n">
        <v>0</v>
      </c>
      <c r="AM514" t="n">
        <v>0</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HYPERLINK("https://creighton-primo.hosted.exlibrisgroup.com/primo-explore/search?tab=default_tab&amp;search_scope=EVERYTHING&amp;vid=01CRU&amp;lang=en_US&amp;offset=0&amp;query=any,contains,991003852619702656","Catalog Record")</f>
        <v/>
      </c>
      <c r="AT514">
        <f>HYPERLINK("http://www.worldcat.org/oclc/16131918","WorldCat Record")</f>
        <v/>
      </c>
      <c r="AU514" t="inlineStr">
        <is>
          <t>4744514133:eng</t>
        </is>
      </c>
      <c r="AV514" t="inlineStr">
        <is>
          <t>16131918</t>
        </is>
      </c>
      <c r="AW514" t="inlineStr">
        <is>
          <t>991003852619702656</t>
        </is>
      </c>
      <c r="AX514" t="inlineStr">
        <is>
          <t>991003852619702656</t>
        </is>
      </c>
      <c r="AY514" t="inlineStr">
        <is>
          <t>2268530950002656</t>
        </is>
      </c>
      <c r="AZ514" t="inlineStr">
        <is>
          <t>BOOK</t>
        </is>
      </c>
      <c r="BB514" t="inlineStr">
        <is>
          <t>9780809129188</t>
        </is>
      </c>
      <c r="BC514" t="inlineStr">
        <is>
          <t>32285004642194</t>
        </is>
      </c>
      <c r="BD514" t="inlineStr">
        <is>
          <t>893722122</t>
        </is>
      </c>
    </row>
    <row r="515">
      <c r="A515" t="inlineStr">
        <is>
          <t>No</t>
        </is>
      </c>
      <c r="B515" t="inlineStr">
        <is>
          <t>BV4460.7 .C468 1990</t>
        </is>
      </c>
      <c r="C515" t="inlineStr">
        <is>
          <t>0                      BV 4460700C  468         1990</t>
        </is>
      </c>
      <c r="D515" t="inlineStr">
        <is>
          <t>The Church with AIDS : renewal in the midst of crisis / Letty M. Russell, editor.</t>
        </is>
      </c>
      <c r="F515" t="inlineStr">
        <is>
          <t>No</t>
        </is>
      </c>
      <c r="G515" t="inlineStr">
        <is>
          <t>1</t>
        </is>
      </c>
      <c r="H515" t="inlineStr">
        <is>
          <t>No</t>
        </is>
      </c>
      <c r="I515" t="inlineStr">
        <is>
          <t>No</t>
        </is>
      </c>
      <c r="J515" t="inlineStr">
        <is>
          <t>0</t>
        </is>
      </c>
      <c r="L515" t="inlineStr">
        <is>
          <t>Louisville, Ky. : Westminster/John Knox Press, c1990.</t>
        </is>
      </c>
      <c r="M515" t="inlineStr">
        <is>
          <t>1990</t>
        </is>
      </c>
      <c r="N515" t="inlineStr">
        <is>
          <t>1st ed.</t>
        </is>
      </c>
      <c r="O515" t="inlineStr">
        <is>
          <t>eng</t>
        </is>
      </c>
      <c r="P515" t="inlineStr">
        <is>
          <t>kyu</t>
        </is>
      </c>
      <c r="R515" t="inlineStr">
        <is>
          <t xml:space="preserve">BV </t>
        </is>
      </c>
      <c r="S515" t="n">
        <v>2</v>
      </c>
      <c r="T515" t="n">
        <v>2</v>
      </c>
      <c r="U515" t="inlineStr">
        <is>
          <t>2004-12-06</t>
        </is>
      </c>
      <c r="V515" t="inlineStr">
        <is>
          <t>2004-12-06</t>
        </is>
      </c>
      <c r="W515" t="inlineStr">
        <is>
          <t>1996-06-26</t>
        </is>
      </c>
      <c r="X515" t="inlineStr">
        <is>
          <t>1996-06-26</t>
        </is>
      </c>
      <c r="Y515" t="n">
        <v>344</v>
      </c>
      <c r="Z515" t="n">
        <v>299</v>
      </c>
      <c r="AA515" t="n">
        <v>303</v>
      </c>
      <c r="AB515" t="n">
        <v>2</v>
      </c>
      <c r="AC515" t="n">
        <v>2</v>
      </c>
      <c r="AD515" t="n">
        <v>17</v>
      </c>
      <c r="AE515" t="n">
        <v>17</v>
      </c>
      <c r="AF515" t="n">
        <v>7</v>
      </c>
      <c r="AG515" t="n">
        <v>7</v>
      </c>
      <c r="AH515" t="n">
        <v>3</v>
      </c>
      <c r="AI515" t="n">
        <v>3</v>
      </c>
      <c r="AJ515" t="n">
        <v>11</v>
      </c>
      <c r="AK515" t="n">
        <v>11</v>
      </c>
      <c r="AL515" t="n">
        <v>1</v>
      </c>
      <c r="AM515" t="n">
        <v>1</v>
      </c>
      <c r="AN515" t="n">
        <v>1</v>
      </c>
      <c r="AO515" t="n">
        <v>1</v>
      </c>
      <c r="AP515" t="inlineStr">
        <is>
          <t>No</t>
        </is>
      </c>
      <c r="AQ515" t="inlineStr">
        <is>
          <t>No</t>
        </is>
      </c>
      <c r="AS515">
        <f>HYPERLINK("https://creighton-primo.hosted.exlibrisgroup.com/primo-explore/search?tab=default_tab&amp;search_scope=EVERYTHING&amp;vid=01CRU&amp;lang=en_US&amp;offset=0&amp;query=any,contains,991001658349702656","Catalog Record")</f>
        <v/>
      </c>
      <c r="AT515">
        <f>HYPERLINK("http://www.worldcat.org/oclc/21153063","WorldCat Record")</f>
        <v/>
      </c>
      <c r="AU515" t="inlineStr">
        <is>
          <t>1089594235:eng</t>
        </is>
      </c>
      <c r="AV515" t="inlineStr">
        <is>
          <t>21153063</t>
        </is>
      </c>
      <c r="AW515" t="inlineStr">
        <is>
          <t>991001658349702656</t>
        </is>
      </c>
      <c r="AX515" t="inlineStr">
        <is>
          <t>991001658349702656</t>
        </is>
      </c>
      <c r="AY515" t="inlineStr">
        <is>
          <t>2264974410002656</t>
        </is>
      </c>
      <c r="AZ515" t="inlineStr">
        <is>
          <t>BOOK</t>
        </is>
      </c>
      <c r="BB515" t="inlineStr">
        <is>
          <t>9780664251116</t>
        </is>
      </c>
      <c r="BC515" t="inlineStr">
        <is>
          <t>32285002173614</t>
        </is>
      </c>
      <c r="BD515" t="inlineStr">
        <is>
          <t>893684492</t>
        </is>
      </c>
    </row>
    <row r="516">
      <c r="A516" t="inlineStr">
        <is>
          <t>No</t>
        </is>
      </c>
      <c r="B516" t="inlineStr">
        <is>
          <t>BV4460.7 .K38 1988</t>
        </is>
      </c>
      <c r="C516" t="inlineStr">
        <is>
          <t>0                      BV 4460700K  38          1988</t>
        </is>
      </c>
      <c r="D516" t="inlineStr">
        <is>
          <t>Pastoral ministry in the AIDS era : focus on families and friends of persons with AIDS / Louis F. Kavar.</t>
        </is>
      </c>
      <c r="F516" t="inlineStr">
        <is>
          <t>No</t>
        </is>
      </c>
      <c r="G516" t="inlineStr">
        <is>
          <t>1</t>
        </is>
      </c>
      <c r="H516" t="inlineStr">
        <is>
          <t>No</t>
        </is>
      </c>
      <c r="I516" t="inlineStr">
        <is>
          <t>No</t>
        </is>
      </c>
      <c r="J516" t="inlineStr">
        <is>
          <t>0</t>
        </is>
      </c>
      <c r="K516" t="inlineStr">
        <is>
          <t>Kavar, Louis F.</t>
        </is>
      </c>
      <c r="L516" t="inlineStr">
        <is>
          <t>Wayzata, Minn. : Woodland Pub. Co., c1988.</t>
        </is>
      </c>
      <c r="M516" t="inlineStr">
        <is>
          <t>1988</t>
        </is>
      </c>
      <c r="O516" t="inlineStr">
        <is>
          <t>eng</t>
        </is>
      </c>
      <c r="P516" t="inlineStr">
        <is>
          <t>mnu</t>
        </is>
      </c>
      <c r="Q516" t="inlineStr">
        <is>
          <t>The Care giver book series / The College of Chaplains</t>
        </is>
      </c>
      <c r="R516" t="inlineStr">
        <is>
          <t xml:space="preserve">BV </t>
        </is>
      </c>
      <c r="S516" t="n">
        <v>1</v>
      </c>
      <c r="T516" t="n">
        <v>1</v>
      </c>
      <c r="U516" t="inlineStr">
        <is>
          <t>2008-12-02</t>
        </is>
      </c>
      <c r="V516" t="inlineStr">
        <is>
          <t>2008-12-02</t>
        </is>
      </c>
      <c r="W516" t="inlineStr">
        <is>
          <t>2008-12-02</t>
        </is>
      </c>
      <c r="X516" t="inlineStr">
        <is>
          <t>2008-12-02</t>
        </is>
      </c>
      <c r="Y516" t="n">
        <v>71</v>
      </c>
      <c r="Z516" t="n">
        <v>61</v>
      </c>
      <c r="AA516" t="n">
        <v>61</v>
      </c>
      <c r="AB516" t="n">
        <v>1</v>
      </c>
      <c r="AC516" t="n">
        <v>1</v>
      </c>
      <c r="AD516" t="n">
        <v>3</v>
      </c>
      <c r="AE516" t="n">
        <v>3</v>
      </c>
      <c r="AF516" t="n">
        <v>1</v>
      </c>
      <c r="AG516" t="n">
        <v>1</v>
      </c>
      <c r="AH516" t="n">
        <v>1</v>
      </c>
      <c r="AI516" t="n">
        <v>1</v>
      </c>
      <c r="AJ516" t="n">
        <v>1</v>
      </c>
      <c r="AK516" t="n">
        <v>1</v>
      </c>
      <c r="AL516" t="n">
        <v>0</v>
      </c>
      <c r="AM516" t="n">
        <v>0</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HYPERLINK("https://creighton-primo.hosted.exlibrisgroup.com/primo-explore/search?tab=default_tab&amp;search_scope=EVERYTHING&amp;vid=01CRU&amp;lang=en_US&amp;offset=0&amp;query=any,contains,991005279049702656","Catalog Record")</f>
        <v/>
      </c>
      <c r="AT516">
        <f>HYPERLINK("http://www.worldcat.org/oclc/18416156","WorldCat Record")</f>
        <v/>
      </c>
      <c r="AU516" t="inlineStr">
        <is>
          <t>17485828:eng</t>
        </is>
      </c>
      <c r="AV516" t="inlineStr">
        <is>
          <t>18416156</t>
        </is>
      </c>
      <c r="AW516" t="inlineStr">
        <is>
          <t>991005279049702656</t>
        </is>
      </c>
      <c r="AX516" t="inlineStr">
        <is>
          <t>991005279049702656</t>
        </is>
      </c>
      <c r="AY516" t="inlineStr">
        <is>
          <t>2256337890002656</t>
        </is>
      </c>
      <c r="AZ516" t="inlineStr">
        <is>
          <t>BOOK</t>
        </is>
      </c>
      <c r="BB516" t="inlineStr">
        <is>
          <t>9780934104074</t>
        </is>
      </c>
      <c r="BC516" t="inlineStr">
        <is>
          <t>32285005461404</t>
        </is>
      </c>
      <c r="BD516" t="inlineStr">
        <is>
          <t>893688883</t>
        </is>
      </c>
    </row>
    <row r="517">
      <c r="A517" t="inlineStr">
        <is>
          <t>No</t>
        </is>
      </c>
      <c r="B517" t="inlineStr">
        <is>
          <t>BV4460.7 .M47 2004</t>
        </is>
      </c>
      <c r="C517" t="inlineStr">
        <is>
          <t>0                      BV 4460700M  47          2004</t>
        </is>
      </c>
      <c r="D517" t="inlineStr">
        <is>
          <t>Breaking the conspiracy of silence : Christian churches and the global AIDS crisis / Donald E. Messer.</t>
        </is>
      </c>
      <c r="F517" t="inlineStr">
        <is>
          <t>No</t>
        </is>
      </c>
      <c r="G517" t="inlineStr">
        <is>
          <t>1</t>
        </is>
      </c>
      <c r="H517" t="inlineStr">
        <is>
          <t>No</t>
        </is>
      </c>
      <c r="I517" t="inlineStr">
        <is>
          <t>No</t>
        </is>
      </c>
      <c r="J517" t="inlineStr">
        <is>
          <t>0</t>
        </is>
      </c>
      <c r="K517" t="inlineStr">
        <is>
          <t>Messer, Donald E., 1941-</t>
        </is>
      </c>
      <c r="L517" t="inlineStr">
        <is>
          <t>Minneapolis : Fortress Press, c2004.</t>
        </is>
      </c>
      <c r="M517" t="inlineStr">
        <is>
          <t>2004</t>
        </is>
      </c>
      <c r="O517" t="inlineStr">
        <is>
          <t>eng</t>
        </is>
      </c>
      <c r="P517" t="inlineStr">
        <is>
          <t>mnu</t>
        </is>
      </c>
      <c r="Q517" t="inlineStr">
        <is>
          <t>Prisms</t>
        </is>
      </c>
      <c r="R517" t="inlineStr">
        <is>
          <t xml:space="preserve">BV </t>
        </is>
      </c>
      <c r="S517" t="n">
        <v>2</v>
      </c>
      <c r="T517" t="n">
        <v>2</v>
      </c>
      <c r="U517" t="inlineStr">
        <is>
          <t>2004-11-17</t>
        </is>
      </c>
      <c r="V517" t="inlineStr">
        <is>
          <t>2004-11-17</t>
        </is>
      </c>
      <c r="W517" t="inlineStr">
        <is>
          <t>2004-11-17</t>
        </is>
      </c>
      <c r="X517" t="inlineStr">
        <is>
          <t>2004-11-17</t>
        </is>
      </c>
      <c r="Y517" t="n">
        <v>304</v>
      </c>
      <c r="Z517" t="n">
        <v>237</v>
      </c>
      <c r="AA517" t="n">
        <v>242</v>
      </c>
      <c r="AB517" t="n">
        <v>4</v>
      </c>
      <c r="AC517" t="n">
        <v>4</v>
      </c>
      <c r="AD517" t="n">
        <v>24</v>
      </c>
      <c r="AE517" t="n">
        <v>24</v>
      </c>
      <c r="AF517" t="n">
        <v>8</v>
      </c>
      <c r="AG517" t="n">
        <v>8</v>
      </c>
      <c r="AH517" t="n">
        <v>4</v>
      </c>
      <c r="AI517" t="n">
        <v>4</v>
      </c>
      <c r="AJ517" t="n">
        <v>13</v>
      </c>
      <c r="AK517" t="n">
        <v>13</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HYPERLINK("https://creighton-primo.hosted.exlibrisgroup.com/primo-explore/search?tab=default_tab&amp;search_scope=EVERYTHING&amp;vid=01CRU&amp;lang=en_US&amp;offset=0&amp;query=any,contains,991004423529702656","Catalog Record")</f>
        <v/>
      </c>
      <c r="AT517">
        <f>HYPERLINK("http://www.worldcat.org/oclc/54682540","WorldCat Record")</f>
        <v/>
      </c>
      <c r="AU517" t="inlineStr">
        <is>
          <t>903539:eng</t>
        </is>
      </c>
      <c r="AV517" t="inlineStr">
        <is>
          <t>54682540</t>
        </is>
      </c>
      <c r="AW517" t="inlineStr">
        <is>
          <t>991004423529702656</t>
        </is>
      </c>
      <c r="AX517" t="inlineStr">
        <is>
          <t>991004423529702656</t>
        </is>
      </c>
      <c r="AY517" t="inlineStr">
        <is>
          <t>2267769110002656</t>
        </is>
      </c>
      <c r="AZ517" t="inlineStr">
        <is>
          <t>BOOK</t>
        </is>
      </c>
      <c r="BB517" t="inlineStr">
        <is>
          <t>9780800636418</t>
        </is>
      </c>
      <c r="BC517" t="inlineStr">
        <is>
          <t>32285005011621</t>
        </is>
      </c>
      <c r="BD517" t="inlineStr">
        <is>
          <t>893800953</t>
        </is>
      </c>
    </row>
    <row r="518">
      <c r="A518" t="inlineStr">
        <is>
          <t>No</t>
        </is>
      </c>
      <c r="B518" t="inlineStr">
        <is>
          <t>BV4463.6 .C34 1990</t>
        </is>
      </c>
      <c r="C518" t="inlineStr">
        <is>
          <t>0                      BV 4463600C  34          1990</t>
        </is>
      </c>
      <c r="D518" t="inlineStr">
        <is>
          <t>Adult children of alcoholics : ministers and the ministries / Rachel Callahan, Rea McDonnell.</t>
        </is>
      </c>
      <c r="F518" t="inlineStr">
        <is>
          <t>No</t>
        </is>
      </c>
      <c r="G518" t="inlineStr">
        <is>
          <t>1</t>
        </is>
      </c>
      <c r="H518" t="inlineStr">
        <is>
          <t>No</t>
        </is>
      </c>
      <c r="I518" t="inlineStr">
        <is>
          <t>No</t>
        </is>
      </c>
      <c r="J518" t="inlineStr">
        <is>
          <t>0</t>
        </is>
      </c>
      <c r="K518" t="inlineStr">
        <is>
          <t>Callahan, Rachel.</t>
        </is>
      </c>
      <c r="L518" t="inlineStr">
        <is>
          <t>New York : Paulist Press, c1990.</t>
        </is>
      </c>
      <c r="M518" t="inlineStr">
        <is>
          <t>1990</t>
        </is>
      </c>
      <c r="O518" t="inlineStr">
        <is>
          <t>eng</t>
        </is>
      </c>
      <c r="P518" t="inlineStr">
        <is>
          <t>nyu</t>
        </is>
      </c>
      <c r="Q518" t="inlineStr">
        <is>
          <t>Integration books</t>
        </is>
      </c>
      <c r="R518" t="inlineStr">
        <is>
          <t xml:space="preserve">BV </t>
        </is>
      </c>
      <c r="S518" t="n">
        <v>2</v>
      </c>
      <c r="T518" t="n">
        <v>2</v>
      </c>
      <c r="U518" t="inlineStr">
        <is>
          <t>2000-04-18</t>
        </is>
      </c>
      <c r="V518" t="inlineStr">
        <is>
          <t>2000-04-18</t>
        </is>
      </c>
      <c r="W518" t="inlineStr">
        <is>
          <t>1990-10-26</t>
        </is>
      </c>
      <c r="X518" t="inlineStr">
        <is>
          <t>1990-10-26</t>
        </is>
      </c>
      <c r="Y518" t="n">
        <v>165</v>
      </c>
      <c r="Z518" t="n">
        <v>143</v>
      </c>
      <c r="AA518" t="n">
        <v>143</v>
      </c>
      <c r="AB518" t="n">
        <v>1</v>
      </c>
      <c r="AC518" t="n">
        <v>1</v>
      </c>
      <c r="AD518" t="n">
        <v>10</v>
      </c>
      <c r="AE518" t="n">
        <v>10</v>
      </c>
      <c r="AF518" t="n">
        <v>4</v>
      </c>
      <c r="AG518" t="n">
        <v>4</v>
      </c>
      <c r="AH518" t="n">
        <v>2</v>
      </c>
      <c r="AI518" t="n">
        <v>2</v>
      </c>
      <c r="AJ518" t="n">
        <v>6</v>
      </c>
      <c r="AK518" t="n">
        <v>6</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HYPERLINK("https://creighton-primo.hosted.exlibrisgroup.com/primo-explore/search?tab=default_tab&amp;search_scope=EVERYTHING&amp;vid=01CRU&amp;lang=en_US&amp;offset=0&amp;query=any,contains,991001567999702656","Catalog Record")</f>
        <v/>
      </c>
      <c r="AT518">
        <f>HYPERLINK("http://www.worldcat.org/oclc/20356189","WorldCat Record")</f>
        <v/>
      </c>
      <c r="AU518" t="inlineStr">
        <is>
          <t>1097371478:eng</t>
        </is>
      </c>
      <c r="AV518" t="inlineStr">
        <is>
          <t>20356189</t>
        </is>
      </c>
      <c r="AW518" t="inlineStr">
        <is>
          <t>991001567999702656</t>
        </is>
      </c>
      <c r="AX518" t="inlineStr">
        <is>
          <t>991001567999702656</t>
        </is>
      </c>
      <c r="AY518" t="inlineStr">
        <is>
          <t>2269961100002656</t>
        </is>
      </c>
      <c r="AZ518" t="inlineStr">
        <is>
          <t>BOOK</t>
        </is>
      </c>
      <c r="BB518" t="inlineStr">
        <is>
          <t>9780809131204</t>
        </is>
      </c>
      <c r="BC518" t="inlineStr">
        <is>
          <t>32285000311968</t>
        </is>
      </c>
      <c r="BD518" t="inlineStr">
        <is>
          <t>893684406</t>
        </is>
      </c>
    </row>
    <row r="519">
      <c r="A519" t="inlineStr">
        <is>
          <t>No</t>
        </is>
      </c>
      <c r="B519" t="inlineStr">
        <is>
          <t>BV4464.5 .W43 1999</t>
        </is>
      </c>
      <c r="C519" t="inlineStr">
        <is>
          <t>0                      BV 4464500W  43          1999</t>
        </is>
      </c>
      <c r="D519" t="inlineStr">
        <is>
          <t>Counseling troubled teens and their families : a handbook for pastors and youth workers / Andrew J. Weaver, John D. Preston, Leigh W. Jerome.</t>
        </is>
      </c>
      <c r="F519" t="inlineStr">
        <is>
          <t>No</t>
        </is>
      </c>
      <c r="G519" t="inlineStr">
        <is>
          <t>1</t>
        </is>
      </c>
      <c r="H519" t="inlineStr">
        <is>
          <t>No</t>
        </is>
      </c>
      <c r="I519" t="inlineStr">
        <is>
          <t>No</t>
        </is>
      </c>
      <c r="J519" t="inlineStr">
        <is>
          <t>0</t>
        </is>
      </c>
      <c r="K519" t="inlineStr">
        <is>
          <t>Weaver, Andrew J., 1947-</t>
        </is>
      </c>
      <c r="L519" t="inlineStr">
        <is>
          <t>Nashville : Abingdon Press, c1999.</t>
        </is>
      </c>
      <c r="M519" t="inlineStr">
        <is>
          <t>1999</t>
        </is>
      </c>
      <c r="O519" t="inlineStr">
        <is>
          <t>eng</t>
        </is>
      </c>
      <c r="P519" t="inlineStr">
        <is>
          <t>tnu</t>
        </is>
      </c>
      <c r="R519" t="inlineStr">
        <is>
          <t xml:space="preserve">BV </t>
        </is>
      </c>
      <c r="S519" t="n">
        <v>1</v>
      </c>
      <c r="T519" t="n">
        <v>1</v>
      </c>
      <c r="U519" t="inlineStr">
        <is>
          <t>2001-08-08</t>
        </is>
      </c>
      <c r="V519" t="inlineStr">
        <is>
          <t>2001-08-08</t>
        </is>
      </c>
      <c r="W519" t="inlineStr">
        <is>
          <t>2001-08-07</t>
        </is>
      </c>
      <c r="X519" t="inlineStr">
        <is>
          <t>2001-08-07</t>
        </is>
      </c>
      <c r="Y519" t="n">
        <v>191</v>
      </c>
      <c r="Z519" t="n">
        <v>163</v>
      </c>
      <c r="AA519" t="n">
        <v>163</v>
      </c>
      <c r="AB519" t="n">
        <v>1</v>
      </c>
      <c r="AC519" t="n">
        <v>1</v>
      </c>
      <c r="AD519" t="n">
        <v>7</v>
      </c>
      <c r="AE519" t="n">
        <v>7</v>
      </c>
      <c r="AF519" t="n">
        <v>3</v>
      </c>
      <c r="AG519" t="n">
        <v>3</v>
      </c>
      <c r="AH519" t="n">
        <v>2</v>
      </c>
      <c r="AI519" t="n">
        <v>2</v>
      </c>
      <c r="AJ519" t="n">
        <v>2</v>
      </c>
      <c r="AK519" t="n">
        <v>2</v>
      </c>
      <c r="AL519" t="n">
        <v>0</v>
      </c>
      <c r="AM519" t="n">
        <v>0</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HYPERLINK("https://creighton-primo.hosted.exlibrisgroup.com/primo-explore/search?tab=default_tab&amp;search_scope=EVERYTHING&amp;vid=01CRU&amp;lang=en_US&amp;offset=0&amp;query=any,contains,991003565889702656","Catalog Record")</f>
        <v/>
      </c>
      <c r="AT519">
        <f>HYPERLINK("http://www.worldcat.org/oclc/40473793","WorldCat Record")</f>
        <v/>
      </c>
      <c r="AU519" t="inlineStr">
        <is>
          <t>364410146:eng</t>
        </is>
      </c>
      <c r="AV519" t="inlineStr">
        <is>
          <t>40473793</t>
        </is>
      </c>
      <c r="AW519" t="inlineStr">
        <is>
          <t>991003565889702656</t>
        </is>
      </c>
      <c r="AX519" t="inlineStr">
        <is>
          <t>991003565889702656</t>
        </is>
      </c>
      <c r="AY519" t="inlineStr">
        <is>
          <t>2264238210002656</t>
        </is>
      </c>
      <c r="AZ519" t="inlineStr">
        <is>
          <t>BOOK</t>
        </is>
      </c>
      <c r="BB519" t="inlineStr">
        <is>
          <t>9780687082360</t>
        </is>
      </c>
      <c r="BC519" t="inlineStr">
        <is>
          <t>32285004376256</t>
        </is>
      </c>
      <c r="BD519" t="inlineStr">
        <is>
          <t>893524956</t>
        </is>
      </c>
    </row>
    <row r="520">
      <c r="A520" t="inlineStr">
        <is>
          <t>No</t>
        </is>
      </c>
      <c r="B520" t="inlineStr">
        <is>
          <t>BV4465 .B57 1951</t>
        </is>
      </c>
      <c r="C520" t="inlineStr">
        <is>
          <t>0                      BV 4465000B  57          1951</t>
        </is>
      </c>
      <c r="D520" t="inlineStr">
        <is>
          <t>Gates of Dannemora.</t>
        </is>
      </c>
      <c r="F520" t="inlineStr">
        <is>
          <t>No</t>
        </is>
      </c>
      <c r="G520" t="inlineStr">
        <is>
          <t>1</t>
        </is>
      </c>
      <c r="H520" t="inlineStr">
        <is>
          <t>No</t>
        </is>
      </c>
      <c r="I520" t="inlineStr">
        <is>
          <t>No</t>
        </is>
      </c>
      <c r="J520" t="inlineStr">
        <is>
          <t>0</t>
        </is>
      </c>
      <c r="K520" t="inlineStr">
        <is>
          <t>Bonn, John Louis, 1906-</t>
        </is>
      </c>
      <c r="L520" t="inlineStr">
        <is>
          <t>Garden City, N.Y. : Doubleday, 1951.</t>
        </is>
      </c>
      <c r="M520" t="inlineStr">
        <is>
          <t>1951</t>
        </is>
      </c>
      <c r="N520" t="inlineStr">
        <is>
          <t>[1st ed.]</t>
        </is>
      </c>
      <c r="O520" t="inlineStr">
        <is>
          <t>eng</t>
        </is>
      </c>
      <c r="P520" t="inlineStr">
        <is>
          <t>nyu</t>
        </is>
      </c>
      <c r="R520" t="inlineStr">
        <is>
          <t xml:space="preserve">BV </t>
        </is>
      </c>
      <c r="S520" t="n">
        <v>0</v>
      </c>
      <c r="T520" t="n">
        <v>0</v>
      </c>
      <c r="U520" t="inlineStr">
        <is>
          <t>2001-07-19</t>
        </is>
      </c>
      <c r="V520" t="inlineStr">
        <is>
          <t>2001-07-19</t>
        </is>
      </c>
      <c r="W520" t="inlineStr">
        <is>
          <t>1992-02-25</t>
        </is>
      </c>
      <c r="X520" t="inlineStr">
        <is>
          <t>1992-02-25</t>
        </is>
      </c>
      <c r="Y520" t="n">
        <v>257</v>
      </c>
      <c r="Z520" t="n">
        <v>237</v>
      </c>
      <c r="AA520" t="n">
        <v>244</v>
      </c>
      <c r="AB520" t="n">
        <v>2</v>
      </c>
      <c r="AC520" t="n">
        <v>2</v>
      </c>
      <c r="AD520" t="n">
        <v>25</v>
      </c>
      <c r="AE520" t="n">
        <v>25</v>
      </c>
      <c r="AF520" t="n">
        <v>9</v>
      </c>
      <c r="AG520" t="n">
        <v>9</v>
      </c>
      <c r="AH520" t="n">
        <v>7</v>
      </c>
      <c r="AI520" t="n">
        <v>7</v>
      </c>
      <c r="AJ520" t="n">
        <v>19</v>
      </c>
      <c r="AK520" t="n">
        <v>19</v>
      </c>
      <c r="AL520" t="n">
        <v>0</v>
      </c>
      <c r="AM520" t="n">
        <v>0</v>
      </c>
      <c r="AN520" t="n">
        <v>0</v>
      </c>
      <c r="AO520" t="n">
        <v>0</v>
      </c>
      <c r="AP520" t="inlineStr">
        <is>
          <t>Yes</t>
        </is>
      </c>
      <c r="AQ520" t="inlineStr">
        <is>
          <t>No</t>
        </is>
      </c>
      <c r="AR520">
        <f>HYPERLINK("http://catalog.hathitrust.org/Record/006640912","HathiTrust Record")</f>
        <v/>
      </c>
      <c r="AS520">
        <f>HYPERLINK("https://creighton-primo.hosted.exlibrisgroup.com/primo-explore/search?tab=default_tab&amp;search_scope=EVERYTHING&amp;vid=01CRU&amp;lang=en_US&amp;offset=0&amp;query=any,contains,991002723879702656","Catalog Record")</f>
        <v/>
      </c>
      <c r="AT520">
        <f>HYPERLINK("http://www.worldcat.org/oclc/413819","WorldCat Record")</f>
        <v/>
      </c>
      <c r="AU520" t="inlineStr">
        <is>
          <t>1467649:eng</t>
        </is>
      </c>
      <c r="AV520" t="inlineStr">
        <is>
          <t>413819</t>
        </is>
      </c>
      <c r="AW520" t="inlineStr">
        <is>
          <t>991002723879702656</t>
        </is>
      </c>
      <c r="AX520" t="inlineStr">
        <is>
          <t>991002723879702656</t>
        </is>
      </c>
      <c r="AY520" t="inlineStr">
        <is>
          <t>2267996420002656</t>
        </is>
      </c>
      <c r="AZ520" t="inlineStr">
        <is>
          <t>BOOK</t>
        </is>
      </c>
      <c r="BC520" t="inlineStr">
        <is>
          <t>32285000966167</t>
        </is>
      </c>
      <c r="BD520" t="inlineStr">
        <is>
          <t>893880315</t>
        </is>
      </c>
    </row>
    <row r="521">
      <c r="A521" t="inlineStr">
        <is>
          <t>No</t>
        </is>
      </c>
      <c r="B521" t="inlineStr">
        <is>
          <t>BV4468 .C3 1984</t>
        </is>
      </c>
      <c r="C521" t="inlineStr">
        <is>
          <t>0                      BV 4468000C  3           1984</t>
        </is>
      </c>
      <c r="D521" t="inlineStr">
        <is>
          <t>The hispanic presence : challenge and commitment ; a pastoral letter on hispanic ministry = La presencia hispana ; esperanza y compromiso ; uno carta pastoral sobre el ministerio hispano / National Conference of Catholic Bishops.</t>
        </is>
      </c>
      <c r="F521" t="inlineStr">
        <is>
          <t>No</t>
        </is>
      </c>
      <c r="G521" t="inlineStr">
        <is>
          <t>1</t>
        </is>
      </c>
      <c r="H521" t="inlineStr">
        <is>
          <t>No</t>
        </is>
      </c>
      <c r="I521" t="inlineStr">
        <is>
          <t>No</t>
        </is>
      </c>
      <c r="J521" t="inlineStr">
        <is>
          <t>0</t>
        </is>
      </c>
      <c r="K521" t="inlineStr">
        <is>
          <t>Catholic Church. National Conference of Catholic Bishops.</t>
        </is>
      </c>
      <c r="L521" t="inlineStr">
        <is>
          <t>Washington : United States Catholic Conference, 1983.</t>
        </is>
      </c>
      <c r="M521" t="inlineStr">
        <is>
          <t>1983</t>
        </is>
      </c>
      <c r="O521" t="inlineStr">
        <is>
          <t>eng</t>
        </is>
      </c>
      <c r="P521" t="inlineStr">
        <is>
          <t>dcu</t>
        </is>
      </c>
      <c r="Q521" t="inlineStr">
        <is>
          <t>United States Catholic Conference. Publication ; no. 891.</t>
        </is>
      </c>
      <c r="R521" t="inlineStr">
        <is>
          <t xml:space="preserve">BV </t>
        </is>
      </c>
      <c r="S521" t="n">
        <v>6</v>
      </c>
      <c r="T521" t="n">
        <v>6</v>
      </c>
      <c r="U521" t="inlineStr">
        <is>
          <t>1995-10-10</t>
        </is>
      </c>
      <c r="V521" t="inlineStr">
        <is>
          <t>1995-10-10</t>
        </is>
      </c>
      <c r="W521" t="inlineStr">
        <is>
          <t>1992-02-25</t>
        </is>
      </c>
      <c r="X521" t="inlineStr">
        <is>
          <t>1992-02-25</t>
        </is>
      </c>
      <c r="Y521" t="n">
        <v>50</v>
      </c>
      <c r="Z521" t="n">
        <v>50</v>
      </c>
      <c r="AA521" t="n">
        <v>50</v>
      </c>
      <c r="AB521" t="n">
        <v>1</v>
      </c>
      <c r="AC521" t="n">
        <v>1</v>
      </c>
      <c r="AD521" t="n">
        <v>6</v>
      </c>
      <c r="AE521" t="n">
        <v>6</v>
      </c>
      <c r="AF521" t="n">
        <v>1</v>
      </c>
      <c r="AG521" t="n">
        <v>1</v>
      </c>
      <c r="AH521" t="n">
        <v>1</v>
      </c>
      <c r="AI521" t="n">
        <v>1</v>
      </c>
      <c r="AJ521" t="n">
        <v>6</v>
      </c>
      <c r="AK521" t="n">
        <v>6</v>
      </c>
      <c r="AL521" t="n">
        <v>0</v>
      </c>
      <c r="AM521" t="n">
        <v>0</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HYPERLINK("https://creighton-primo.hosted.exlibrisgroup.com/primo-explore/search?tab=default_tab&amp;search_scope=EVERYTHING&amp;vid=01CRU&amp;lang=en_US&amp;offset=0&amp;query=any,contains,991000420939702656","Catalog Record")</f>
        <v/>
      </c>
      <c r="AT521">
        <f>HYPERLINK("http://www.worldcat.org/oclc/10733699","WorldCat Record")</f>
        <v/>
      </c>
      <c r="AU521" t="inlineStr">
        <is>
          <t>3901108427:eng</t>
        </is>
      </c>
      <c r="AV521" t="inlineStr">
        <is>
          <t>10733699</t>
        </is>
      </c>
      <c r="AW521" t="inlineStr">
        <is>
          <t>991000420939702656</t>
        </is>
      </c>
      <c r="AX521" t="inlineStr">
        <is>
          <t>991000420939702656</t>
        </is>
      </c>
      <c r="AY521" t="inlineStr">
        <is>
          <t>2257186020002656</t>
        </is>
      </c>
      <c r="AZ521" t="inlineStr">
        <is>
          <t>BOOK</t>
        </is>
      </c>
      <c r="BC521" t="inlineStr">
        <is>
          <t>32285000966183</t>
        </is>
      </c>
      <c r="BD521" t="inlineStr">
        <is>
          <t>893314905</t>
        </is>
      </c>
    </row>
    <row r="522">
      <c r="A522" t="inlineStr">
        <is>
          <t>No</t>
        </is>
      </c>
      <c r="B522" t="inlineStr">
        <is>
          <t>BV4468.2.H5 C33 1988</t>
        </is>
      </c>
      <c r="C522" t="inlineStr">
        <is>
          <t>0                      BV 4468200H  5                  C  33          1988</t>
        </is>
      </c>
      <c r="D522" t="inlineStr">
        <is>
          <t>National pastoral plan for hispanic ministry / National Conference of Catholic Bishops.</t>
        </is>
      </c>
      <c r="F522" t="inlineStr">
        <is>
          <t>No</t>
        </is>
      </c>
      <c r="G522" t="inlineStr">
        <is>
          <t>1</t>
        </is>
      </c>
      <c r="H522" t="inlineStr">
        <is>
          <t>No</t>
        </is>
      </c>
      <c r="I522" t="inlineStr">
        <is>
          <t>No</t>
        </is>
      </c>
      <c r="J522" t="inlineStr">
        <is>
          <t>0</t>
        </is>
      </c>
      <c r="K522" t="inlineStr">
        <is>
          <t>Catholic Church. National Conference of Catholic Bishops.</t>
        </is>
      </c>
      <c r="L522" t="inlineStr">
        <is>
          <t>Washington, D.C. : Office of Publishing and Promotion Services, United States Catholic Conference, c1988.</t>
        </is>
      </c>
      <c r="M522" t="inlineStr">
        <is>
          <t>1988</t>
        </is>
      </c>
      <c r="N522" t="inlineStr">
        <is>
          <t>Edición bilingüe.</t>
        </is>
      </c>
      <c r="O522" t="inlineStr">
        <is>
          <t>eng</t>
        </is>
      </c>
      <c r="P522" t="inlineStr">
        <is>
          <t>dcu</t>
        </is>
      </c>
      <c r="Q522" t="inlineStr">
        <is>
          <t>Publication / Office of Publishing Services, United States Catholic Conference ; no. 199-7</t>
        </is>
      </c>
      <c r="R522" t="inlineStr">
        <is>
          <t xml:space="preserve">BV </t>
        </is>
      </c>
      <c r="S522" t="n">
        <v>4</v>
      </c>
      <c r="T522" t="n">
        <v>4</v>
      </c>
      <c r="U522" t="inlineStr">
        <is>
          <t>1995-10-10</t>
        </is>
      </c>
      <c r="V522" t="inlineStr">
        <is>
          <t>1995-10-10</t>
        </is>
      </c>
      <c r="W522" t="inlineStr">
        <is>
          <t>1992-02-25</t>
        </is>
      </c>
      <c r="X522" t="inlineStr">
        <is>
          <t>1992-02-25</t>
        </is>
      </c>
      <c r="Y522" t="n">
        <v>107</v>
      </c>
      <c r="Z522" t="n">
        <v>104</v>
      </c>
      <c r="AA522" t="n">
        <v>109</v>
      </c>
      <c r="AB522" t="n">
        <v>1</v>
      </c>
      <c r="AC522" t="n">
        <v>1</v>
      </c>
      <c r="AD522" t="n">
        <v>20</v>
      </c>
      <c r="AE522" t="n">
        <v>20</v>
      </c>
      <c r="AF522" t="n">
        <v>6</v>
      </c>
      <c r="AG522" t="n">
        <v>6</v>
      </c>
      <c r="AH522" t="n">
        <v>6</v>
      </c>
      <c r="AI522" t="n">
        <v>6</v>
      </c>
      <c r="AJ522" t="n">
        <v>15</v>
      </c>
      <c r="AK522" t="n">
        <v>15</v>
      </c>
      <c r="AL522" t="n">
        <v>0</v>
      </c>
      <c r="AM522" t="n">
        <v>0</v>
      </c>
      <c r="AN522" t="n">
        <v>0</v>
      </c>
      <c r="AO522" t="n">
        <v>0</v>
      </c>
      <c r="AP522" t="inlineStr">
        <is>
          <t>No</t>
        </is>
      </c>
      <c r="AQ522" t="inlineStr">
        <is>
          <t>Yes</t>
        </is>
      </c>
      <c r="AR522">
        <f>HYPERLINK("http://catalog.hathitrust.org/Record/101544461","HathiTrust Record")</f>
        <v/>
      </c>
      <c r="AS522">
        <f>HYPERLINK("https://creighton-primo.hosted.exlibrisgroup.com/primo-explore/search?tab=default_tab&amp;search_scope=EVERYTHING&amp;vid=01CRU&amp;lang=en_US&amp;offset=0&amp;query=any,contains,991001288039702656","Catalog Record")</f>
        <v/>
      </c>
      <c r="AT522">
        <f>HYPERLINK("http://www.worldcat.org/oclc/18778892","WorldCat Record")</f>
        <v/>
      </c>
      <c r="AU522" t="inlineStr">
        <is>
          <t>55150801:eng</t>
        </is>
      </c>
      <c r="AV522" t="inlineStr">
        <is>
          <t>18778892</t>
        </is>
      </c>
      <c r="AW522" t="inlineStr">
        <is>
          <t>991001288039702656</t>
        </is>
      </c>
      <c r="AX522" t="inlineStr">
        <is>
          <t>991001288039702656</t>
        </is>
      </c>
      <c r="AY522" t="inlineStr">
        <is>
          <t>2258058490002656</t>
        </is>
      </c>
      <c r="AZ522" t="inlineStr">
        <is>
          <t>BOOK</t>
        </is>
      </c>
      <c r="BB522" t="inlineStr">
        <is>
          <t>9781555861995</t>
        </is>
      </c>
      <c r="BC522" t="inlineStr">
        <is>
          <t>32285000966191</t>
        </is>
      </c>
      <c r="BD522" t="inlineStr">
        <is>
          <t>893334227</t>
        </is>
      </c>
    </row>
    <row r="523">
      <c r="A523" t="inlineStr">
        <is>
          <t>No</t>
        </is>
      </c>
      <c r="B523" t="inlineStr">
        <is>
          <t>BV4468.2.H5 C34 1990</t>
        </is>
      </c>
      <c r="C523" t="inlineStr">
        <is>
          <t>0                      BV 4468200H  5                  C  34          1990</t>
        </is>
      </c>
      <c r="D523" t="inlineStr">
        <is>
          <t>Leaven for the kingdom of God.</t>
        </is>
      </c>
      <c r="F523" t="inlineStr">
        <is>
          <t>No</t>
        </is>
      </c>
      <c r="G523" t="inlineStr">
        <is>
          <t>1</t>
        </is>
      </c>
      <c r="H523" t="inlineStr">
        <is>
          <t>No</t>
        </is>
      </c>
      <c r="I523" t="inlineStr">
        <is>
          <t>No</t>
        </is>
      </c>
      <c r="J523" t="inlineStr">
        <is>
          <t>0</t>
        </is>
      </c>
      <c r="K523" t="inlineStr">
        <is>
          <t>Catholic Church. National Conference of Catholic Bishops. Bishops' Committee for Hispanic Affairs.</t>
        </is>
      </c>
      <c r="L523" t="inlineStr">
        <is>
          <t>Washington, D.C. : United States Catholic Conference, 1990.</t>
        </is>
      </c>
      <c r="M523" t="inlineStr">
        <is>
          <t>1990</t>
        </is>
      </c>
      <c r="N523" t="inlineStr">
        <is>
          <t>Ed. Bilingüe.</t>
        </is>
      </c>
      <c r="O523" t="inlineStr">
        <is>
          <t>eng</t>
        </is>
      </c>
      <c r="P523" t="inlineStr">
        <is>
          <t>dcu</t>
        </is>
      </c>
      <c r="Q523" t="inlineStr">
        <is>
          <t>Publication / Office for Publishing and Promotion Services, United States Catholic Conference ; no. 394-9</t>
        </is>
      </c>
      <c r="R523" t="inlineStr">
        <is>
          <t xml:space="preserve">BV </t>
        </is>
      </c>
      <c r="S523" t="n">
        <v>4</v>
      </c>
      <c r="T523" t="n">
        <v>4</v>
      </c>
      <c r="U523" t="inlineStr">
        <is>
          <t>1995-10-10</t>
        </is>
      </c>
      <c r="V523" t="inlineStr">
        <is>
          <t>1995-10-10</t>
        </is>
      </c>
      <c r="W523" t="inlineStr">
        <is>
          <t>1991-01-03</t>
        </is>
      </c>
      <c r="X523" t="inlineStr">
        <is>
          <t>1991-01-03</t>
        </is>
      </c>
      <c r="Y523" t="n">
        <v>61</v>
      </c>
      <c r="Z523" t="n">
        <v>61</v>
      </c>
      <c r="AA523" t="n">
        <v>100</v>
      </c>
      <c r="AB523" t="n">
        <v>1</v>
      </c>
      <c r="AC523" t="n">
        <v>1</v>
      </c>
      <c r="AD523" t="n">
        <v>9</v>
      </c>
      <c r="AE523" t="n">
        <v>16</v>
      </c>
      <c r="AF523" t="n">
        <v>2</v>
      </c>
      <c r="AG523" t="n">
        <v>4</v>
      </c>
      <c r="AH523" t="n">
        <v>4</v>
      </c>
      <c r="AI523" t="n">
        <v>5</v>
      </c>
      <c r="AJ523" t="n">
        <v>6</v>
      </c>
      <c r="AK523" t="n">
        <v>12</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HYPERLINK("https://creighton-primo.hosted.exlibrisgroup.com/primo-explore/search?tab=default_tab&amp;search_scope=EVERYTHING&amp;vid=01CRU&amp;lang=en_US&amp;offset=0&amp;query=any,contains,991001814629702656","Catalog Record")</f>
        <v/>
      </c>
      <c r="AT523">
        <f>HYPERLINK("http://www.worldcat.org/oclc/22775904","WorldCat Record")</f>
        <v/>
      </c>
      <c r="AU523" t="inlineStr">
        <is>
          <t>24358460:eng</t>
        </is>
      </c>
      <c r="AV523" t="inlineStr">
        <is>
          <t>22775904</t>
        </is>
      </c>
      <c r="AW523" t="inlineStr">
        <is>
          <t>991001814629702656</t>
        </is>
      </c>
      <c r="AX523" t="inlineStr">
        <is>
          <t>991001814629702656</t>
        </is>
      </c>
      <c r="AY523" t="inlineStr">
        <is>
          <t>2261892140002656</t>
        </is>
      </c>
      <c r="AZ523" t="inlineStr">
        <is>
          <t>BOOK</t>
        </is>
      </c>
      <c r="BB523" t="inlineStr">
        <is>
          <t>9781555863944</t>
        </is>
      </c>
      <c r="BC523" t="inlineStr">
        <is>
          <t>32285000298033</t>
        </is>
      </c>
      <c r="BD523" t="inlineStr">
        <is>
          <t>893346810</t>
        </is>
      </c>
    </row>
    <row r="524">
      <c r="A524" t="inlineStr">
        <is>
          <t>No</t>
        </is>
      </c>
      <c r="B524" t="inlineStr">
        <is>
          <t>BV4468.2.H57 D43 1989</t>
        </is>
      </c>
      <c r="C524" t="inlineStr">
        <is>
          <t>0                      BV 4468200H  57                 D  43          1989</t>
        </is>
      </c>
      <c r="D524" t="inlineStr">
        <is>
          <t>The second wave : Hispanic ministry and the evangelization of cultures / Allan Figueroa Deck.</t>
        </is>
      </c>
      <c r="F524" t="inlineStr">
        <is>
          <t>No</t>
        </is>
      </c>
      <c r="G524" t="inlineStr">
        <is>
          <t>1</t>
        </is>
      </c>
      <c r="H524" t="inlineStr">
        <is>
          <t>No</t>
        </is>
      </c>
      <c r="I524" t="inlineStr">
        <is>
          <t>No</t>
        </is>
      </c>
      <c r="J524" t="inlineStr">
        <is>
          <t>0</t>
        </is>
      </c>
      <c r="K524" t="inlineStr">
        <is>
          <t>Deck, Allan Figueroa, 1945-</t>
        </is>
      </c>
      <c r="L524" t="inlineStr">
        <is>
          <t>New York : Paulist Press, c1989.</t>
        </is>
      </c>
      <c r="M524" t="inlineStr">
        <is>
          <t>1989</t>
        </is>
      </c>
      <c r="O524" t="inlineStr">
        <is>
          <t>eng</t>
        </is>
      </c>
      <c r="P524" t="inlineStr">
        <is>
          <t>nyu</t>
        </is>
      </c>
      <c r="Q524" t="inlineStr">
        <is>
          <t>Isaac Hecker studies in religion and American culture</t>
        </is>
      </c>
      <c r="R524" t="inlineStr">
        <is>
          <t xml:space="preserve">BV </t>
        </is>
      </c>
      <c r="S524" t="n">
        <v>9</v>
      </c>
      <c r="T524" t="n">
        <v>9</v>
      </c>
      <c r="U524" t="inlineStr">
        <is>
          <t>1997-04-09</t>
        </is>
      </c>
      <c r="V524" t="inlineStr">
        <is>
          <t>1997-04-09</t>
        </is>
      </c>
      <c r="W524" t="inlineStr">
        <is>
          <t>1990-04-02</t>
        </is>
      </c>
      <c r="X524" t="inlineStr">
        <is>
          <t>1990-04-02</t>
        </is>
      </c>
      <c r="Y524" t="n">
        <v>307</v>
      </c>
      <c r="Z524" t="n">
        <v>288</v>
      </c>
      <c r="AA524" t="n">
        <v>295</v>
      </c>
      <c r="AB524" t="n">
        <v>2</v>
      </c>
      <c r="AC524" t="n">
        <v>2</v>
      </c>
      <c r="AD524" t="n">
        <v>26</v>
      </c>
      <c r="AE524" t="n">
        <v>26</v>
      </c>
      <c r="AF524" t="n">
        <v>9</v>
      </c>
      <c r="AG524" t="n">
        <v>9</v>
      </c>
      <c r="AH524" t="n">
        <v>6</v>
      </c>
      <c r="AI524" t="n">
        <v>6</v>
      </c>
      <c r="AJ524" t="n">
        <v>17</v>
      </c>
      <c r="AK524" t="n">
        <v>17</v>
      </c>
      <c r="AL524" t="n">
        <v>1</v>
      </c>
      <c r="AM524" t="n">
        <v>1</v>
      </c>
      <c r="AN524" t="n">
        <v>0</v>
      </c>
      <c r="AO524" t="n">
        <v>0</v>
      </c>
      <c r="AP524" t="inlineStr">
        <is>
          <t>No</t>
        </is>
      </c>
      <c r="AQ524" t="inlineStr">
        <is>
          <t>Yes</t>
        </is>
      </c>
      <c r="AR524">
        <f>HYPERLINK("http://catalog.hathitrust.org/Record/002457898","HathiTrust Record")</f>
        <v/>
      </c>
      <c r="AS524">
        <f>HYPERLINK("https://creighton-primo.hosted.exlibrisgroup.com/primo-explore/search?tab=default_tab&amp;search_scope=EVERYTHING&amp;vid=01CRU&amp;lang=en_US&amp;offset=0&amp;query=any,contains,991001402669702656","Catalog Record")</f>
        <v/>
      </c>
      <c r="AT524">
        <f>HYPERLINK("http://www.worldcat.org/oclc/18833450","WorldCat Record")</f>
        <v/>
      </c>
      <c r="AU524" t="inlineStr">
        <is>
          <t>18933975:eng</t>
        </is>
      </c>
      <c r="AV524" t="inlineStr">
        <is>
          <t>18833450</t>
        </is>
      </c>
      <c r="AW524" t="inlineStr">
        <is>
          <t>991001402669702656</t>
        </is>
      </c>
      <c r="AX524" t="inlineStr">
        <is>
          <t>991001402669702656</t>
        </is>
      </c>
      <c r="AY524" t="inlineStr">
        <is>
          <t>2256403930002656</t>
        </is>
      </c>
      <c r="AZ524" t="inlineStr">
        <is>
          <t>BOOK</t>
        </is>
      </c>
      <c r="BB524" t="inlineStr">
        <is>
          <t>9780809130429</t>
        </is>
      </c>
      <c r="BC524" t="inlineStr">
        <is>
          <t>32285000092584</t>
        </is>
      </c>
      <c r="BD524" t="inlineStr">
        <is>
          <t>893503389</t>
        </is>
      </c>
    </row>
    <row r="525">
      <c r="A525" t="inlineStr">
        <is>
          <t>No</t>
        </is>
      </c>
      <c r="B525" t="inlineStr">
        <is>
          <t>BV4487.C5 P75 1985</t>
        </is>
      </c>
      <c r="C525" t="inlineStr">
        <is>
          <t>0                      BV 4487000C  5                  P  75          1985</t>
        </is>
      </c>
      <c r="D525" t="inlineStr">
        <is>
          <t>The Children of God/Family of Love : an annotated bibliography / W. Douglas Pritchett.</t>
        </is>
      </c>
      <c r="F525" t="inlineStr">
        <is>
          <t>No</t>
        </is>
      </c>
      <c r="G525" t="inlineStr">
        <is>
          <t>1</t>
        </is>
      </c>
      <c r="H525" t="inlineStr">
        <is>
          <t>No</t>
        </is>
      </c>
      <c r="I525" t="inlineStr">
        <is>
          <t>No</t>
        </is>
      </c>
      <c r="J525" t="inlineStr">
        <is>
          <t>0</t>
        </is>
      </c>
      <c r="K525" t="inlineStr">
        <is>
          <t>Pritchett, W. Douglas, 1952-</t>
        </is>
      </c>
      <c r="L525" t="inlineStr">
        <is>
          <t>New York : Garland Pub., 1985.</t>
        </is>
      </c>
      <c r="M525" t="inlineStr">
        <is>
          <t>1985</t>
        </is>
      </c>
      <c r="O525" t="inlineStr">
        <is>
          <t>eng</t>
        </is>
      </c>
      <c r="P525" t="inlineStr">
        <is>
          <t>nyu</t>
        </is>
      </c>
      <c r="Q525" t="inlineStr">
        <is>
          <t>Sects and cults in America. Bibliographical guides ; vol. 5</t>
        </is>
      </c>
      <c r="R525" t="inlineStr">
        <is>
          <t xml:space="preserve">BV </t>
        </is>
      </c>
      <c r="S525" t="n">
        <v>2</v>
      </c>
      <c r="T525" t="n">
        <v>2</v>
      </c>
      <c r="U525" t="inlineStr">
        <is>
          <t>1997-11-25</t>
        </is>
      </c>
      <c r="V525" t="inlineStr">
        <is>
          <t>1997-11-25</t>
        </is>
      </c>
      <c r="W525" t="inlineStr">
        <is>
          <t>1995-04-11</t>
        </is>
      </c>
      <c r="X525" t="inlineStr">
        <is>
          <t>1995-04-11</t>
        </is>
      </c>
      <c r="Y525" t="n">
        <v>247</v>
      </c>
      <c r="Z525" t="n">
        <v>205</v>
      </c>
      <c r="AA525" t="n">
        <v>212</v>
      </c>
      <c r="AB525" t="n">
        <v>1</v>
      </c>
      <c r="AC525" t="n">
        <v>1</v>
      </c>
      <c r="AD525" t="n">
        <v>5</v>
      </c>
      <c r="AE525" t="n">
        <v>5</v>
      </c>
      <c r="AF525" t="n">
        <v>0</v>
      </c>
      <c r="AG525" t="n">
        <v>0</v>
      </c>
      <c r="AH525" t="n">
        <v>0</v>
      </c>
      <c r="AI525" t="n">
        <v>0</v>
      </c>
      <c r="AJ525" t="n">
        <v>5</v>
      </c>
      <c r="AK525" t="n">
        <v>5</v>
      </c>
      <c r="AL525" t="n">
        <v>0</v>
      </c>
      <c r="AM525" t="n">
        <v>0</v>
      </c>
      <c r="AN525" t="n">
        <v>0</v>
      </c>
      <c r="AO525" t="n">
        <v>0</v>
      </c>
      <c r="AP525" t="inlineStr">
        <is>
          <t>No</t>
        </is>
      </c>
      <c r="AQ525" t="inlineStr">
        <is>
          <t>Yes</t>
        </is>
      </c>
      <c r="AR525">
        <f>HYPERLINK("http://catalog.hathitrust.org/Record/000813062","HathiTrust Record")</f>
        <v/>
      </c>
      <c r="AS525">
        <f>HYPERLINK("https://creighton-primo.hosted.exlibrisgroup.com/primo-explore/search?tab=default_tab&amp;search_scope=EVERYTHING&amp;vid=01CRU&amp;lang=en_US&amp;offset=0&amp;query=any,contains,991000502759702656","Catalog Record")</f>
        <v/>
      </c>
      <c r="AT525">
        <f>HYPERLINK("http://www.worldcat.org/oclc/11187546","WorldCat Record")</f>
        <v/>
      </c>
      <c r="AU525" t="inlineStr">
        <is>
          <t>836678978:eng</t>
        </is>
      </c>
      <c r="AV525" t="inlineStr">
        <is>
          <t>11187546</t>
        </is>
      </c>
      <c r="AW525" t="inlineStr">
        <is>
          <t>991000502759702656</t>
        </is>
      </c>
      <c r="AX525" t="inlineStr">
        <is>
          <t>991000502759702656</t>
        </is>
      </c>
      <c r="AY525" t="inlineStr">
        <is>
          <t>2263509850002656</t>
        </is>
      </c>
      <c r="AZ525" t="inlineStr">
        <is>
          <t>BOOK</t>
        </is>
      </c>
      <c r="BB525" t="inlineStr">
        <is>
          <t>9780824090432</t>
        </is>
      </c>
      <c r="BC525" t="inlineStr">
        <is>
          <t>32285002026812</t>
        </is>
      </c>
      <c r="BD525" t="inlineStr">
        <is>
          <t>893865409</t>
        </is>
      </c>
    </row>
    <row r="526">
      <c r="A526" t="inlineStr">
        <is>
          <t>No</t>
        </is>
      </c>
      <c r="B526" t="inlineStr">
        <is>
          <t>BV4490 .M62 1990</t>
        </is>
      </c>
      <c r="C526" t="inlineStr">
        <is>
          <t>0                      BV 4490000M  62          1990</t>
        </is>
      </c>
      <c r="D526" t="inlineStr">
        <is>
          <t>Modern Christian spirituality : methodological and historical essays / edited by Bradley C. Hanson.</t>
        </is>
      </c>
      <c r="F526" t="inlineStr">
        <is>
          <t>No</t>
        </is>
      </c>
      <c r="G526" t="inlineStr">
        <is>
          <t>1</t>
        </is>
      </c>
      <c r="H526" t="inlineStr">
        <is>
          <t>No</t>
        </is>
      </c>
      <c r="I526" t="inlineStr">
        <is>
          <t>No</t>
        </is>
      </c>
      <c r="J526" t="inlineStr">
        <is>
          <t>0</t>
        </is>
      </c>
      <c r="L526" t="inlineStr">
        <is>
          <t>Atlanta, Ga. : Scholars Press, c1990.</t>
        </is>
      </c>
      <c r="M526" t="inlineStr">
        <is>
          <t>1990</t>
        </is>
      </c>
      <c r="O526" t="inlineStr">
        <is>
          <t>eng</t>
        </is>
      </c>
      <c r="P526" t="inlineStr">
        <is>
          <t>gau</t>
        </is>
      </c>
      <c r="Q526" t="inlineStr">
        <is>
          <t>American Academy of Religion. AAR studies in religion ; no. 62</t>
        </is>
      </c>
      <c r="R526" t="inlineStr">
        <is>
          <t xml:space="preserve">BV </t>
        </is>
      </c>
      <c r="S526" t="n">
        <v>9</v>
      </c>
      <c r="T526" t="n">
        <v>9</v>
      </c>
      <c r="U526" t="inlineStr">
        <is>
          <t>2008-09-08</t>
        </is>
      </c>
      <c r="V526" t="inlineStr">
        <is>
          <t>2008-09-08</t>
        </is>
      </c>
      <c r="W526" t="inlineStr">
        <is>
          <t>1992-01-02</t>
        </is>
      </c>
      <c r="X526" t="inlineStr">
        <is>
          <t>1992-01-02</t>
        </is>
      </c>
      <c r="Y526" t="n">
        <v>252</v>
      </c>
      <c r="Z526" t="n">
        <v>197</v>
      </c>
      <c r="AA526" t="n">
        <v>197</v>
      </c>
      <c r="AB526" t="n">
        <v>1</v>
      </c>
      <c r="AC526" t="n">
        <v>1</v>
      </c>
      <c r="AD526" t="n">
        <v>17</v>
      </c>
      <c r="AE526" t="n">
        <v>17</v>
      </c>
      <c r="AF526" t="n">
        <v>7</v>
      </c>
      <c r="AG526" t="n">
        <v>7</v>
      </c>
      <c r="AH526" t="n">
        <v>3</v>
      </c>
      <c r="AI526" t="n">
        <v>3</v>
      </c>
      <c r="AJ526" t="n">
        <v>10</v>
      </c>
      <c r="AK526" t="n">
        <v>10</v>
      </c>
      <c r="AL526" t="n">
        <v>0</v>
      </c>
      <c r="AM526" t="n">
        <v>0</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HYPERLINK("https://creighton-primo.hosted.exlibrisgroup.com/primo-explore/search?tab=default_tab&amp;search_scope=EVERYTHING&amp;vid=01CRU&amp;lang=en_US&amp;offset=0&amp;query=any,contains,991001794199702656","Catalog Record")</f>
        <v/>
      </c>
      <c r="AT526">
        <f>HYPERLINK("http://www.worldcat.org/oclc/22593022","WorldCat Record")</f>
        <v/>
      </c>
      <c r="AU526" t="inlineStr">
        <is>
          <t>152297754:eng</t>
        </is>
      </c>
      <c r="AV526" t="inlineStr">
        <is>
          <t>22593022</t>
        </is>
      </c>
      <c r="AW526" t="inlineStr">
        <is>
          <t>991001794199702656</t>
        </is>
      </c>
      <c r="AX526" t="inlineStr">
        <is>
          <t>991001794199702656</t>
        </is>
      </c>
      <c r="AY526" t="inlineStr">
        <is>
          <t>2263296670002656</t>
        </is>
      </c>
      <c r="AZ526" t="inlineStr">
        <is>
          <t>BOOK</t>
        </is>
      </c>
      <c r="BB526" t="inlineStr">
        <is>
          <t>9781555405571</t>
        </is>
      </c>
      <c r="BC526" t="inlineStr">
        <is>
          <t>32285000862978</t>
        </is>
      </c>
      <c r="BD526" t="inlineStr">
        <is>
          <t>893334608</t>
        </is>
      </c>
    </row>
    <row r="527">
      <c r="A527" t="inlineStr">
        <is>
          <t>No</t>
        </is>
      </c>
      <c r="B527" t="inlineStr">
        <is>
          <t>BV4490 .S72 1990</t>
        </is>
      </c>
      <c r="C527" t="inlineStr">
        <is>
          <t>0                      BV 4490000S  72          1990</t>
        </is>
      </c>
      <c r="D527" t="inlineStr">
        <is>
          <t>Spiritual traditions for the contemporary church / edited by Robin Maas and Gabriel O'Donnell.</t>
        </is>
      </c>
      <c r="F527" t="inlineStr">
        <is>
          <t>No</t>
        </is>
      </c>
      <c r="G527" t="inlineStr">
        <is>
          <t>1</t>
        </is>
      </c>
      <c r="H527" t="inlineStr">
        <is>
          <t>No</t>
        </is>
      </c>
      <c r="I527" t="inlineStr">
        <is>
          <t>No</t>
        </is>
      </c>
      <c r="J527" t="inlineStr">
        <is>
          <t>0</t>
        </is>
      </c>
      <c r="L527" t="inlineStr">
        <is>
          <t>Nashville : Abingdon Press, c1990.</t>
        </is>
      </c>
      <c r="M527" t="inlineStr">
        <is>
          <t>1990</t>
        </is>
      </c>
      <c r="O527" t="inlineStr">
        <is>
          <t>eng</t>
        </is>
      </c>
      <c r="P527" t="inlineStr">
        <is>
          <t>tnu</t>
        </is>
      </c>
      <c r="R527" t="inlineStr">
        <is>
          <t xml:space="preserve">BV </t>
        </is>
      </c>
      <c r="S527" t="n">
        <v>4</v>
      </c>
      <c r="T527" t="n">
        <v>4</v>
      </c>
      <c r="U527" t="inlineStr">
        <is>
          <t>2008-07-21</t>
        </is>
      </c>
      <c r="V527" t="inlineStr">
        <is>
          <t>2008-07-21</t>
        </is>
      </c>
      <c r="W527" t="inlineStr">
        <is>
          <t>2001-08-07</t>
        </is>
      </c>
      <c r="X527" t="inlineStr">
        <is>
          <t>2001-08-07</t>
        </is>
      </c>
      <c r="Y527" t="n">
        <v>327</v>
      </c>
      <c r="Z527" t="n">
        <v>266</v>
      </c>
      <c r="AA527" t="n">
        <v>283</v>
      </c>
      <c r="AB527" t="n">
        <v>3</v>
      </c>
      <c r="AC527" t="n">
        <v>4</v>
      </c>
      <c r="AD527" t="n">
        <v>22</v>
      </c>
      <c r="AE527" t="n">
        <v>23</v>
      </c>
      <c r="AF527" t="n">
        <v>11</v>
      </c>
      <c r="AG527" t="n">
        <v>11</v>
      </c>
      <c r="AH527" t="n">
        <v>4</v>
      </c>
      <c r="AI527" t="n">
        <v>4</v>
      </c>
      <c r="AJ527" t="n">
        <v>13</v>
      </c>
      <c r="AK527" t="n">
        <v>13</v>
      </c>
      <c r="AL527" t="n">
        <v>1</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HYPERLINK("https://creighton-primo.hosted.exlibrisgroup.com/primo-explore/search?tab=default_tab&amp;search_scope=EVERYTHING&amp;vid=01CRU&amp;lang=en_US&amp;offset=0&amp;query=any,contains,991003565969702656","Catalog Record")</f>
        <v/>
      </c>
      <c r="AT527">
        <f>HYPERLINK("http://www.worldcat.org/oclc/20754475","WorldCat Record")</f>
        <v/>
      </c>
      <c r="AU527" t="inlineStr">
        <is>
          <t>351881265:eng</t>
        </is>
      </c>
      <c r="AV527" t="inlineStr">
        <is>
          <t>20754475</t>
        </is>
      </c>
      <c r="AW527" t="inlineStr">
        <is>
          <t>991003565969702656</t>
        </is>
      </c>
      <c r="AX527" t="inlineStr">
        <is>
          <t>991003565969702656</t>
        </is>
      </c>
      <c r="AY527" t="inlineStr">
        <is>
          <t>2264144950002656</t>
        </is>
      </c>
      <c r="AZ527" t="inlineStr">
        <is>
          <t>BOOK</t>
        </is>
      </c>
      <c r="BB527" t="inlineStr">
        <is>
          <t>9780687392346</t>
        </is>
      </c>
      <c r="BC527" t="inlineStr">
        <is>
          <t>32285004376223</t>
        </is>
      </c>
      <c r="BD527" t="inlineStr">
        <is>
          <t>893810046</t>
        </is>
      </c>
    </row>
    <row r="528">
      <c r="A528" t="inlineStr">
        <is>
          <t>No</t>
        </is>
      </c>
      <c r="B528" t="inlineStr">
        <is>
          <t>BV4490 .S73 1976</t>
        </is>
      </c>
      <c r="C528" t="inlineStr">
        <is>
          <t>0                      BV 4490000S  73          1976</t>
        </is>
      </c>
      <c r="D528" t="inlineStr">
        <is>
          <t>The Spirituality of Western Christendom / introd. by Jean Leclercq ; edited by E. Rozanne Elder.</t>
        </is>
      </c>
      <c r="F528" t="inlineStr">
        <is>
          <t>No</t>
        </is>
      </c>
      <c r="G528" t="inlineStr">
        <is>
          <t>1</t>
        </is>
      </c>
      <c r="H528" t="inlineStr">
        <is>
          <t>No</t>
        </is>
      </c>
      <c r="I528" t="inlineStr">
        <is>
          <t>No</t>
        </is>
      </c>
      <c r="J528" t="inlineStr">
        <is>
          <t>0</t>
        </is>
      </c>
      <c r="L528" t="inlineStr">
        <is>
          <t>Kalamazoo : Published for the Medieval Institute &amp; the Institute of Cistercian Studies, Western Michigan University, [by] Cistercian Publications, 1976.</t>
        </is>
      </c>
      <c r="M528" t="inlineStr">
        <is>
          <t>1976</t>
        </is>
      </c>
      <c r="O528" t="inlineStr">
        <is>
          <t>eng</t>
        </is>
      </c>
      <c r="P528" t="inlineStr">
        <is>
          <t>miu</t>
        </is>
      </c>
      <c r="Q528" t="inlineStr">
        <is>
          <t>Cistercian studies series ; no. 30</t>
        </is>
      </c>
      <c r="R528" t="inlineStr">
        <is>
          <t xml:space="preserve">BV </t>
        </is>
      </c>
      <c r="S528" t="n">
        <v>6</v>
      </c>
      <c r="T528" t="n">
        <v>6</v>
      </c>
      <c r="U528" t="inlineStr">
        <is>
          <t>2005-02-04</t>
        </is>
      </c>
      <c r="V528" t="inlineStr">
        <is>
          <t>2005-02-04</t>
        </is>
      </c>
      <c r="W528" t="inlineStr">
        <is>
          <t>1999-01-21</t>
        </is>
      </c>
      <c r="X528" t="inlineStr">
        <is>
          <t>1999-01-21</t>
        </is>
      </c>
      <c r="Y528" t="n">
        <v>437</v>
      </c>
      <c r="Z528" t="n">
        <v>356</v>
      </c>
      <c r="AA528" t="n">
        <v>359</v>
      </c>
      <c r="AB528" t="n">
        <v>3</v>
      </c>
      <c r="AC528" t="n">
        <v>3</v>
      </c>
      <c r="AD528" t="n">
        <v>28</v>
      </c>
      <c r="AE528" t="n">
        <v>28</v>
      </c>
      <c r="AF528" t="n">
        <v>8</v>
      </c>
      <c r="AG528" t="n">
        <v>8</v>
      </c>
      <c r="AH528" t="n">
        <v>8</v>
      </c>
      <c r="AI528" t="n">
        <v>8</v>
      </c>
      <c r="AJ528" t="n">
        <v>19</v>
      </c>
      <c r="AK528" t="n">
        <v>19</v>
      </c>
      <c r="AL528" t="n">
        <v>1</v>
      </c>
      <c r="AM528" t="n">
        <v>1</v>
      </c>
      <c r="AN528" t="n">
        <v>0</v>
      </c>
      <c r="AO528" t="n">
        <v>0</v>
      </c>
      <c r="AP528" t="inlineStr">
        <is>
          <t>No</t>
        </is>
      </c>
      <c r="AQ528" t="inlineStr">
        <is>
          <t>Yes</t>
        </is>
      </c>
      <c r="AR528">
        <f>HYPERLINK("http://catalog.hathitrust.org/Record/000741908","HathiTrust Record")</f>
        <v/>
      </c>
      <c r="AS528">
        <f>HYPERLINK("https://creighton-primo.hosted.exlibrisgroup.com/primo-explore/search?tab=default_tab&amp;search_scope=EVERYTHING&amp;vid=01CRU&amp;lang=en_US&amp;offset=0&amp;query=any,contains,991004087079702656","Catalog Record")</f>
        <v/>
      </c>
      <c r="AT528">
        <f>HYPERLINK("http://www.worldcat.org/oclc/2332354","WorldCat Record")</f>
        <v/>
      </c>
      <c r="AU528" t="inlineStr">
        <is>
          <t>367056426:eng</t>
        </is>
      </c>
      <c r="AV528" t="inlineStr">
        <is>
          <t>2332354</t>
        </is>
      </c>
      <c r="AW528" t="inlineStr">
        <is>
          <t>991004087079702656</t>
        </is>
      </c>
      <c r="AX528" t="inlineStr">
        <is>
          <t>991004087079702656</t>
        </is>
      </c>
      <c r="AY528" t="inlineStr">
        <is>
          <t>2264037330002656</t>
        </is>
      </c>
      <c r="AZ528" t="inlineStr">
        <is>
          <t>BOOK</t>
        </is>
      </c>
      <c r="BB528" t="inlineStr">
        <is>
          <t>9780879079871</t>
        </is>
      </c>
      <c r="BC528" t="inlineStr">
        <is>
          <t>32285003514998</t>
        </is>
      </c>
      <c r="BD528" t="inlineStr">
        <is>
          <t>893318786</t>
        </is>
      </c>
    </row>
    <row r="529">
      <c r="A529" t="inlineStr">
        <is>
          <t>No</t>
        </is>
      </c>
      <c r="B529" t="inlineStr">
        <is>
          <t>BV4495 .F57 1978</t>
        </is>
      </c>
      <c r="C529" t="inlineStr">
        <is>
          <t>0                      BV 4495000F  57          1978</t>
        </is>
      </c>
      <c r="D529" t="inlineStr">
        <is>
          <t>The Fire and the cloud : an anthology of Catholic spirituality / edited by David A. Fleming.</t>
        </is>
      </c>
      <c r="F529" t="inlineStr">
        <is>
          <t>No</t>
        </is>
      </c>
      <c r="G529" t="inlineStr">
        <is>
          <t>1</t>
        </is>
      </c>
      <c r="H529" t="inlineStr">
        <is>
          <t>No</t>
        </is>
      </c>
      <c r="I529" t="inlineStr">
        <is>
          <t>No</t>
        </is>
      </c>
      <c r="J529" t="inlineStr">
        <is>
          <t>0</t>
        </is>
      </c>
      <c r="L529" t="inlineStr">
        <is>
          <t>New York : Paulist Press, c1978.</t>
        </is>
      </c>
      <c r="M529" t="inlineStr">
        <is>
          <t>1978</t>
        </is>
      </c>
      <c r="O529" t="inlineStr">
        <is>
          <t>eng</t>
        </is>
      </c>
      <c r="P529" t="inlineStr">
        <is>
          <t>nyu</t>
        </is>
      </c>
      <c r="R529" t="inlineStr">
        <is>
          <t xml:space="preserve">BV </t>
        </is>
      </c>
      <c r="S529" t="n">
        <v>8</v>
      </c>
      <c r="T529" t="n">
        <v>8</v>
      </c>
      <c r="U529" t="inlineStr">
        <is>
          <t>1995-07-10</t>
        </is>
      </c>
      <c r="V529" t="inlineStr">
        <is>
          <t>1995-07-10</t>
        </is>
      </c>
      <c r="W529" t="inlineStr">
        <is>
          <t>1992-02-25</t>
        </is>
      </c>
      <c r="X529" t="inlineStr">
        <is>
          <t>1992-02-25</t>
        </is>
      </c>
      <c r="Y529" t="n">
        <v>282</v>
      </c>
      <c r="Z529" t="n">
        <v>241</v>
      </c>
      <c r="AA529" t="n">
        <v>250</v>
      </c>
      <c r="AB529" t="n">
        <v>2</v>
      </c>
      <c r="AC529" t="n">
        <v>2</v>
      </c>
      <c r="AD529" t="n">
        <v>23</v>
      </c>
      <c r="AE529" t="n">
        <v>23</v>
      </c>
      <c r="AF529" t="n">
        <v>5</v>
      </c>
      <c r="AG529" t="n">
        <v>5</v>
      </c>
      <c r="AH529" t="n">
        <v>6</v>
      </c>
      <c r="AI529" t="n">
        <v>6</v>
      </c>
      <c r="AJ529" t="n">
        <v>17</v>
      </c>
      <c r="AK529" t="n">
        <v>17</v>
      </c>
      <c r="AL529" t="n">
        <v>1</v>
      </c>
      <c r="AM529" t="n">
        <v>1</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HYPERLINK("https://creighton-primo.hosted.exlibrisgroup.com/primo-explore/search?tab=default_tab&amp;search_scope=EVERYTHING&amp;vid=01CRU&amp;lang=en_US&amp;offset=0&amp;query=any,contains,991004516909702656","Catalog Record")</f>
        <v/>
      </c>
      <c r="AT529">
        <f>HYPERLINK("http://www.worldcat.org/oclc/3790347","WorldCat Record")</f>
        <v/>
      </c>
      <c r="AU529" t="inlineStr">
        <is>
          <t>840303317:eng</t>
        </is>
      </c>
      <c r="AV529" t="inlineStr">
        <is>
          <t>3790347</t>
        </is>
      </c>
      <c r="AW529" t="inlineStr">
        <is>
          <t>991004516909702656</t>
        </is>
      </c>
      <c r="AX529" t="inlineStr">
        <is>
          <t>991004516909702656</t>
        </is>
      </c>
      <c r="AY529" t="inlineStr">
        <is>
          <t>2267202500002656</t>
        </is>
      </c>
      <c r="AZ529" t="inlineStr">
        <is>
          <t>BOOK</t>
        </is>
      </c>
      <c r="BB529" t="inlineStr">
        <is>
          <t>9780809120659</t>
        </is>
      </c>
      <c r="BC529" t="inlineStr">
        <is>
          <t>32285000966233</t>
        </is>
      </c>
      <c r="BD529" t="inlineStr">
        <is>
          <t>893253776</t>
        </is>
      </c>
    </row>
    <row r="530">
      <c r="A530" t="inlineStr">
        <is>
          <t>No</t>
        </is>
      </c>
      <c r="B530" t="inlineStr">
        <is>
          <t>BV4495 .P56 1983</t>
        </is>
      </c>
      <c r="C530" t="inlineStr">
        <is>
          <t>0                      BV 4495000P  56          1983</t>
        </is>
      </c>
      <c r="D530" t="inlineStr">
        <is>
          <t>Pilgrimage of the heart : a treasury of Eastern Christian spirituality / edited by George A. Maloney.</t>
        </is>
      </c>
      <c r="F530" t="inlineStr">
        <is>
          <t>No</t>
        </is>
      </c>
      <c r="G530" t="inlineStr">
        <is>
          <t>1</t>
        </is>
      </c>
      <c r="H530" t="inlineStr">
        <is>
          <t>No</t>
        </is>
      </c>
      <c r="I530" t="inlineStr">
        <is>
          <t>No</t>
        </is>
      </c>
      <c r="J530" t="inlineStr">
        <is>
          <t>0</t>
        </is>
      </c>
      <c r="L530" t="inlineStr">
        <is>
          <t>San Francisco, [CA] : Harper &amp; Row, c1983.</t>
        </is>
      </c>
      <c r="M530" t="inlineStr">
        <is>
          <t>1983</t>
        </is>
      </c>
      <c r="N530" t="inlineStr">
        <is>
          <t>1st ed.</t>
        </is>
      </c>
      <c r="O530" t="inlineStr">
        <is>
          <t>eng</t>
        </is>
      </c>
      <c r="P530" t="inlineStr">
        <is>
          <t>cau</t>
        </is>
      </c>
      <c r="R530" t="inlineStr">
        <is>
          <t xml:space="preserve">BV </t>
        </is>
      </c>
      <c r="S530" t="n">
        <v>5</v>
      </c>
      <c r="T530" t="n">
        <v>5</v>
      </c>
      <c r="U530" t="inlineStr">
        <is>
          <t>2002-02-12</t>
        </is>
      </c>
      <c r="V530" t="inlineStr">
        <is>
          <t>2002-02-12</t>
        </is>
      </c>
      <c r="W530" t="inlineStr">
        <is>
          <t>1992-02-25</t>
        </is>
      </c>
      <c r="X530" t="inlineStr">
        <is>
          <t>1992-02-25</t>
        </is>
      </c>
      <c r="Y530" t="n">
        <v>345</v>
      </c>
      <c r="Z530" t="n">
        <v>311</v>
      </c>
      <c r="AA530" t="n">
        <v>312</v>
      </c>
      <c r="AB530" t="n">
        <v>3</v>
      </c>
      <c r="AC530" t="n">
        <v>3</v>
      </c>
      <c r="AD530" t="n">
        <v>23</v>
      </c>
      <c r="AE530" t="n">
        <v>23</v>
      </c>
      <c r="AF530" t="n">
        <v>6</v>
      </c>
      <c r="AG530" t="n">
        <v>6</v>
      </c>
      <c r="AH530" t="n">
        <v>5</v>
      </c>
      <c r="AI530" t="n">
        <v>5</v>
      </c>
      <c r="AJ530" t="n">
        <v>18</v>
      </c>
      <c r="AK530" t="n">
        <v>18</v>
      </c>
      <c r="AL530" t="n">
        <v>2</v>
      </c>
      <c r="AM530" t="n">
        <v>2</v>
      </c>
      <c r="AN530" t="n">
        <v>0</v>
      </c>
      <c r="AO530" t="n">
        <v>0</v>
      </c>
      <c r="AP530" t="inlineStr">
        <is>
          <t>No</t>
        </is>
      </c>
      <c r="AQ530" t="inlineStr">
        <is>
          <t>Yes</t>
        </is>
      </c>
      <c r="AR530">
        <f>HYPERLINK("http://catalog.hathitrust.org/Record/009916530","HathiTrust Record")</f>
        <v/>
      </c>
      <c r="AS530">
        <f>HYPERLINK("https://creighton-primo.hosted.exlibrisgroup.com/primo-explore/search?tab=default_tab&amp;search_scope=EVERYTHING&amp;vid=01CRU&amp;lang=en_US&amp;offset=0&amp;query=any,contains,991000184899702656","Catalog Record")</f>
        <v/>
      </c>
      <c r="AT530">
        <f>HYPERLINK("http://www.worldcat.org/oclc/9393306","WorldCat Record")</f>
        <v/>
      </c>
      <c r="AU530" t="inlineStr">
        <is>
          <t>950284526:eng</t>
        </is>
      </c>
      <c r="AV530" t="inlineStr">
        <is>
          <t>9393306</t>
        </is>
      </c>
      <c r="AW530" t="inlineStr">
        <is>
          <t>991000184899702656</t>
        </is>
      </c>
      <c r="AX530" t="inlineStr">
        <is>
          <t>991000184899702656</t>
        </is>
      </c>
      <c r="AY530" t="inlineStr">
        <is>
          <t>2265853380002656</t>
        </is>
      </c>
      <c r="AZ530" t="inlineStr">
        <is>
          <t>BOOK</t>
        </is>
      </c>
      <c r="BB530" t="inlineStr">
        <is>
          <t>9780060654139</t>
        </is>
      </c>
      <c r="BC530" t="inlineStr">
        <is>
          <t>32285004466289</t>
        </is>
      </c>
      <c r="BD530" t="inlineStr">
        <is>
          <t>893438085</t>
        </is>
      </c>
    </row>
    <row r="531">
      <c r="A531" t="inlineStr">
        <is>
          <t>No</t>
        </is>
      </c>
      <c r="B531" t="inlineStr">
        <is>
          <t>BV45 .H63 1941</t>
        </is>
      </c>
      <c r="C531" t="inlineStr">
        <is>
          <t>0                      BV 0045000H  63          1941</t>
        </is>
      </c>
      <c r="D531" t="inlineStr">
        <is>
          <t>A Christmas chronicle / [by] Aloysius Horn.</t>
        </is>
      </c>
      <c r="F531" t="inlineStr">
        <is>
          <t>No</t>
        </is>
      </c>
      <c r="G531" t="inlineStr">
        <is>
          <t>1</t>
        </is>
      </c>
      <c r="H531" t="inlineStr">
        <is>
          <t>No</t>
        </is>
      </c>
      <c r="I531" t="inlineStr">
        <is>
          <t>No</t>
        </is>
      </c>
      <c r="J531" t="inlineStr">
        <is>
          <t>0</t>
        </is>
      </c>
      <c r="K531" t="inlineStr">
        <is>
          <t>Horn, Trader, 1861-1931.</t>
        </is>
      </c>
      <c r="L531" t="inlineStr">
        <is>
          <t>Paterson, N. J. : St. Anthony guild press, 1941.</t>
        </is>
      </c>
      <c r="M531" t="inlineStr">
        <is>
          <t>1941</t>
        </is>
      </c>
      <c r="O531" t="inlineStr">
        <is>
          <t>eng</t>
        </is>
      </c>
      <c r="P531" t="inlineStr">
        <is>
          <t xml:space="preserve">xx </t>
        </is>
      </c>
      <c r="R531" t="inlineStr">
        <is>
          <t xml:space="preserve">BV </t>
        </is>
      </c>
      <c r="S531" t="n">
        <v>6</v>
      </c>
      <c r="T531" t="n">
        <v>6</v>
      </c>
      <c r="U531" t="inlineStr">
        <is>
          <t>1998-12-14</t>
        </is>
      </c>
      <c r="V531" t="inlineStr">
        <is>
          <t>1998-12-14</t>
        </is>
      </c>
      <c r="W531" t="inlineStr">
        <is>
          <t>1991-11-11</t>
        </is>
      </c>
      <c r="X531" t="inlineStr">
        <is>
          <t>1991-11-11</t>
        </is>
      </c>
      <c r="Y531" t="n">
        <v>67</v>
      </c>
      <c r="Z531" t="n">
        <v>63</v>
      </c>
      <c r="AA531" t="n">
        <v>64</v>
      </c>
      <c r="AB531" t="n">
        <v>1</v>
      </c>
      <c r="AC531" t="n">
        <v>1</v>
      </c>
      <c r="AD531" t="n">
        <v>6</v>
      </c>
      <c r="AE531" t="n">
        <v>6</v>
      </c>
      <c r="AF531" t="n">
        <v>1</v>
      </c>
      <c r="AG531" t="n">
        <v>1</v>
      </c>
      <c r="AH531" t="n">
        <v>2</v>
      </c>
      <c r="AI531" t="n">
        <v>2</v>
      </c>
      <c r="AJ531" t="n">
        <v>4</v>
      </c>
      <c r="AK531" t="n">
        <v>4</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HYPERLINK("https://creighton-primo.hosted.exlibrisgroup.com/primo-explore/search?tab=default_tab&amp;search_scope=EVERYTHING&amp;vid=01CRU&amp;lang=en_US&amp;offset=0&amp;query=any,contains,991004013159702656","Catalog Record")</f>
        <v/>
      </c>
      <c r="AT531">
        <f>HYPERLINK("http://www.worldcat.org/oclc/2097421","WorldCat Record")</f>
        <v/>
      </c>
      <c r="AU531" t="inlineStr">
        <is>
          <t>312199441:eng</t>
        </is>
      </c>
      <c r="AV531" t="inlineStr">
        <is>
          <t>2097421</t>
        </is>
      </c>
      <c r="AW531" t="inlineStr">
        <is>
          <t>991004013159702656</t>
        </is>
      </c>
      <c r="AX531" t="inlineStr">
        <is>
          <t>991004013159702656</t>
        </is>
      </c>
      <c r="AY531" t="inlineStr">
        <is>
          <t>2268691740002656</t>
        </is>
      </c>
      <c r="AZ531" t="inlineStr">
        <is>
          <t>BOOK</t>
        </is>
      </c>
      <c r="BC531" t="inlineStr">
        <is>
          <t>32285000835123</t>
        </is>
      </c>
      <c r="BD531" t="inlineStr">
        <is>
          <t>893531873</t>
        </is>
      </c>
    </row>
    <row r="532">
      <c r="A532" t="inlineStr">
        <is>
          <t>No</t>
        </is>
      </c>
      <c r="B532" t="inlineStr">
        <is>
          <t>BV45 .W8 1958</t>
        </is>
      </c>
      <c r="C532" t="inlineStr">
        <is>
          <t>0                      BV 0045000W  8           1958</t>
        </is>
      </c>
      <c r="D532" t="inlineStr">
        <is>
          <t>The graces of Christmas / Bernard Wuellner.</t>
        </is>
      </c>
      <c r="F532" t="inlineStr">
        <is>
          <t>No</t>
        </is>
      </c>
      <c r="G532" t="inlineStr">
        <is>
          <t>1</t>
        </is>
      </c>
      <c r="H532" t="inlineStr">
        <is>
          <t>No</t>
        </is>
      </c>
      <c r="I532" t="inlineStr">
        <is>
          <t>No</t>
        </is>
      </c>
      <c r="J532" t="inlineStr">
        <is>
          <t>0</t>
        </is>
      </c>
      <c r="K532" t="inlineStr">
        <is>
          <t>Wuellner, Bernard J., 1904-1997.</t>
        </is>
      </c>
      <c r="L532" t="inlineStr">
        <is>
          <t>Milwaukee : Bruce Pub. Co., [1958]</t>
        </is>
      </c>
      <c r="M532" t="inlineStr">
        <is>
          <t>1958</t>
        </is>
      </c>
      <c r="O532" t="inlineStr">
        <is>
          <t>eng</t>
        </is>
      </c>
      <c r="P532" t="inlineStr">
        <is>
          <t>___</t>
        </is>
      </c>
      <c r="R532" t="inlineStr">
        <is>
          <t xml:space="preserve">BV </t>
        </is>
      </c>
      <c r="S532" t="n">
        <v>5</v>
      </c>
      <c r="T532" t="n">
        <v>5</v>
      </c>
      <c r="U532" t="inlineStr">
        <is>
          <t>1993-11-09</t>
        </is>
      </c>
      <c r="V532" t="inlineStr">
        <is>
          <t>1993-11-09</t>
        </is>
      </c>
      <c r="W532" t="inlineStr">
        <is>
          <t>1990-04-20</t>
        </is>
      </c>
      <c r="X532" t="inlineStr">
        <is>
          <t>1990-04-20</t>
        </is>
      </c>
      <c r="Y532" t="n">
        <v>149</v>
      </c>
      <c r="Z532" t="n">
        <v>138</v>
      </c>
      <c r="AA532" t="n">
        <v>149</v>
      </c>
      <c r="AB532" t="n">
        <v>2</v>
      </c>
      <c r="AC532" t="n">
        <v>2</v>
      </c>
      <c r="AD532" t="n">
        <v>23</v>
      </c>
      <c r="AE532" t="n">
        <v>25</v>
      </c>
      <c r="AF532" t="n">
        <v>8</v>
      </c>
      <c r="AG532" t="n">
        <v>8</v>
      </c>
      <c r="AH532" t="n">
        <v>5</v>
      </c>
      <c r="AI532" t="n">
        <v>6</v>
      </c>
      <c r="AJ532" t="n">
        <v>16</v>
      </c>
      <c r="AK532" t="n">
        <v>18</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HYPERLINK("https://creighton-primo.hosted.exlibrisgroup.com/primo-explore/search?tab=default_tab&amp;search_scope=EVERYTHING&amp;vid=01CRU&amp;lang=en_US&amp;offset=0&amp;query=any,contains,991003137779702656","Catalog Record")</f>
        <v/>
      </c>
      <c r="AT532">
        <f>HYPERLINK("http://www.worldcat.org/oclc/679293","WorldCat Record")</f>
        <v/>
      </c>
      <c r="AU532" t="inlineStr">
        <is>
          <t>1746208:eng</t>
        </is>
      </c>
      <c r="AV532" t="inlineStr">
        <is>
          <t>679293</t>
        </is>
      </c>
      <c r="AW532" t="inlineStr">
        <is>
          <t>991003137779702656</t>
        </is>
      </c>
      <c r="AX532" t="inlineStr">
        <is>
          <t>991003137779702656</t>
        </is>
      </c>
      <c r="AY532" t="inlineStr">
        <is>
          <t>2269743250002656</t>
        </is>
      </c>
      <c r="AZ532" t="inlineStr">
        <is>
          <t>BOOK</t>
        </is>
      </c>
      <c r="BC532" t="inlineStr">
        <is>
          <t>32285000122977</t>
        </is>
      </c>
      <c r="BD532" t="inlineStr">
        <is>
          <t>893604469</t>
        </is>
      </c>
    </row>
    <row r="533">
      <c r="A533" t="inlineStr">
        <is>
          <t>No</t>
        </is>
      </c>
      <c r="B533" t="inlineStr">
        <is>
          <t>BV4500 .C44 1981</t>
        </is>
      </c>
      <c r="C533" t="inlineStr">
        <is>
          <t>0                      BV 4500000C  44          1981</t>
        </is>
      </c>
      <c r="D533" t="inlineStr">
        <is>
          <t>The Cell of self-knowledge : early English mystical treatises / by Margery Kempe and others.</t>
        </is>
      </c>
      <c r="F533" t="inlineStr">
        <is>
          <t>No</t>
        </is>
      </c>
      <c r="G533" t="inlineStr">
        <is>
          <t>1</t>
        </is>
      </c>
      <c r="H533" t="inlineStr">
        <is>
          <t>No</t>
        </is>
      </c>
      <c r="I533" t="inlineStr">
        <is>
          <t>No</t>
        </is>
      </c>
      <c r="J533" t="inlineStr">
        <is>
          <t>0</t>
        </is>
      </c>
      <c r="L533" t="inlineStr">
        <is>
          <t>New York : Crossroad, 1981.</t>
        </is>
      </c>
      <c r="M533" t="inlineStr">
        <is>
          <t>1981</t>
        </is>
      </c>
      <c r="O533" t="inlineStr">
        <is>
          <t>eng</t>
        </is>
      </c>
      <c r="P533" t="inlineStr">
        <is>
          <t>nyu</t>
        </is>
      </c>
      <c r="Q533" t="inlineStr">
        <is>
          <t>Spiritual classics</t>
        </is>
      </c>
      <c r="R533" t="inlineStr">
        <is>
          <t xml:space="preserve">BV </t>
        </is>
      </c>
      <c r="S533" t="n">
        <v>5</v>
      </c>
      <c r="T533" t="n">
        <v>5</v>
      </c>
      <c r="U533" t="inlineStr">
        <is>
          <t>2006-02-12</t>
        </is>
      </c>
      <c r="V533" t="inlineStr">
        <is>
          <t>2006-02-12</t>
        </is>
      </c>
      <c r="W533" t="inlineStr">
        <is>
          <t>1991-07-11</t>
        </is>
      </c>
      <c r="X533" t="inlineStr">
        <is>
          <t>1991-07-11</t>
        </is>
      </c>
      <c r="Y533" t="n">
        <v>197</v>
      </c>
      <c r="Z533" t="n">
        <v>175</v>
      </c>
      <c r="AA533" t="n">
        <v>190</v>
      </c>
      <c r="AB533" t="n">
        <v>1</v>
      </c>
      <c r="AC533" t="n">
        <v>1</v>
      </c>
      <c r="AD533" t="n">
        <v>13</v>
      </c>
      <c r="AE533" t="n">
        <v>14</v>
      </c>
      <c r="AF533" t="n">
        <v>6</v>
      </c>
      <c r="AG533" t="n">
        <v>6</v>
      </c>
      <c r="AH533" t="n">
        <v>3</v>
      </c>
      <c r="AI533" t="n">
        <v>3</v>
      </c>
      <c r="AJ533" t="n">
        <v>9</v>
      </c>
      <c r="AK533" t="n">
        <v>10</v>
      </c>
      <c r="AL533" t="n">
        <v>0</v>
      </c>
      <c r="AM533" t="n">
        <v>0</v>
      </c>
      <c r="AN533" t="n">
        <v>0</v>
      </c>
      <c r="AO533" t="n">
        <v>0</v>
      </c>
      <c r="AP533" t="inlineStr">
        <is>
          <t>No</t>
        </is>
      </c>
      <c r="AQ533" t="inlineStr">
        <is>
          <t>Yes</t>
        </is>
      </c>
      <c r="AR533">
        <f>HYPERLINK("http://catalog.hathitrust.org/Record/007108080","HathiTrust Record")</f>
        <v/>
      </c>
      <c r="AS533">
        <f>HYPERLINK("https://creighton-primo.hosted.exlibrisgroup.com/primo-explore/search?tab=default_tab&amp;search_scope=EVERYTHING&amp;vid=01CRU&amp;lang=en_US&amp;offset=0&amp;query=any,contains,991005221419702656","Catalog Record")</f>
        <v/>
      </c>
      <c r="AT533">
        <f>HYPERLINK("http://www.worldcat.org/oclc/8224391","WorldCat Record")</f>
        <v/>
      </c>
      <c r="AU533" t="inlineStr">
        <is>
          <t>54485069:eng</t>
        </is>
      </c>
      <c r="AV533" t="inlineStr">
        <is>
          <t>8224391</t>
        </is>
      </c>
      <c r="AW533" t="inlineStr">
        <is>
          <t>991005221419702656</t>
        </is>
      </c>
      <c r="AX533" t="inlineStr">
        <is>
          <t>991005221419702656</t>
        </is>
      </c>
      <c r="AY533" t="inlineStr">
        <is>
          <t>2270037420002656</t>
        </is>
      </c>
      <c r="AZ533" t="inlineStr">
        <is>
          <t>BOOK</t>
        </is>
      </c>
      <c r="BB533" t="inlineStr">
        <is>
          <t>9780824500825</t>
        </is>
      </c>
      <c r="BC533" t="inlineStr">
        <is>
          <t>32285000637164</t>
        </is>
      </c>
      <c r="BD533" t="inlineStr">
        <is>
          <t>893332621</t>
        </is>
      </c>
    </row>
    <row r="534">
      <c r="A534" t="inlineStr">
        <is>
          <t>No</t>
        </is>
      </c>
      <c r="B534" t="inlineStr">
        <is>
          <t>BV4500 .M35 1966</t>
        </is>
      </c>
      <c r="C534" t="inlineStr">
        <is>
          <t>0                      BV 4500000M  35          1966</t>
        </is>
      </c>
      <c r="D534" t="inlineStr">
        <is>
          <t>Bonifacius : an essay upon the good / by Cotton Mather. Edited with an introd. by David Levin.</t>
        </is>
      </c>
      <c r="F534" t="inlineStr">
        <is>
          <t>No</t>
        </is>
      </c>
      <c r="G534" t="inlineStr">
        <is>
          <t>1</t>
        </is>
      </c>
      <c r="H534" t="inlineStr">
        <is>
          <t>No</t>
        </is>
      </c>
      <c r="I534" t="inlineStr">
        <is>
          <t>No</t>
        </is>
      </c>
      <c r="J534" t="inlineStr">
        <is>
          <t>0</t>
        </is>
      </c>
      <c r="K534" t="inlineStr">
        <is>
          <t>Mather, Cotton, 1663-1728.</t>
        </is>
      </c>
      <c r="L534" t="inlineStr">
        <is>
          <t>Cambridge, Belknap Press of Harvard University Press, 1966.</t>
        </is>
      </c>
      <c r="M534" t="inlineStr">
        <is>
          <t>1966</t>
        </is>
      </c>
      <c r="O534" t="inlineStr">
        <is>
          <t>eng</t>
        </is>
      </c>
      <c r="P534" t="inlineStr">
        <is>
          <t>mau</t>
        </is>
      </c>
      <c r="Q534" t="inlineStr">
        <is>
          <t>The John Harvard Library</t>
        </is>
      </c>
      <c r="R534" t="inlineStr">
        <is>
          <t xml:space="preserve">BV </t>
        </is>
      </c>
      <c r="S534" t="n">
        <v>1</v>
      </c>
      <c r="T534" t="n">
        <v>1</v>
      </c>
      <c r="U534" t="inlineStr">
        <is>
          <t>1992-02-05</t>
        </is>
      </c>
      <c r="V534" t="inlineStr">
        <is>
          <t>1992-02-05</t>
        </is>
      </c>
      <c r="W534" t="inlineStr">
        <is>
          <t>1990-04-25</t>
        </is>
      </c>
      <c r="X534" t="inlineStr">
        <is>
          <t>1990-04-25</t>
        </is>
      </c>
      <c r="Y534" t="n">
        <v>683</v>
      </c>
      <c r="Z534" t="n">
        <v>595</v>
      </c>
      <c r="AA534" t="n">
        <v>722</v>
      </c>
      <c r="AB534" t="n">
        <v>3</v>
      </c>
      <c r="AC534" t="n">
        <v>4</v>
      </c>
      <c r="AD534" t="n">
        <v>28</v>
      </c>
      <c r="AE534" t="n">
        <v>35</v>
      </c>
      <c r="AF534" t="n">
        <v>10</v>
      </c>
      <c r="AG534" t="n">
        <v>13</v>
      </c>
      <c r="AH534" t="n">
        <v>7</v>
      </c>
      <c r="AI534" t="n">
        <v>9</v>
      </c>
      <c r="AJ534" t="n">
        <v>17</v>
      </c>
      <c r="AK534" t="n">
        <v>19</v>
      </c>
      <c r="AL534" t="n">
        <v>2</v>
      </c>
      <c r="AM534" t="n">
        <v>3</v>
      </c>
      <c r="AN534" t="n">
        <v>0</v>
      </c>
      <c r="AO534" t="n">
        <v>0</v>
      </c>
      <c r="AP534" t="inlineStr">
        <is>
          <t>No</t>
        </is>
      </c>
      <c r="AQ534" t="inlineStr">
        <is>
          <t>Yes</t>
        </is>
      </c>
      <c r="AR534">
        <f>HYPERLINK("http://catalog.hathitrust.org/Record/001414729","HathiTrust Record")</f>
        <v/>
      </c>
      <c r="AS534">
        <f>HYPERLINK("https://creighton-primo.hosted.exlibrisgroup.com/primo-explore/search?tab=default_tab&amp;search_scope=EVERYTHING&amp;vid=01CRU&amp;lang=en_US&amp;offset=0&amp;query=any,contains,991003572629702656","Catalog Record")</f>
        <v/>
      </c>
      <c r="AT534">
        <f>HYPERLINK("http://www.worldcat.org/oclc/1148294","WorldCat Record")</f>
        <v/>
      </c>
      <c r="AU534" t="inlineStr">
        <is>
          <t>3855326609:eng</t>
        </is>
      </c>
      <c r="AV534" t="inlineStr">
        <is>
          <t>1148294</t>
        </is>
      </c>
      <c r="AW534" t="inlineStr">
        <is>
          <t>991003572629702656</t>
        </is>
      </c>
      <c r="AX534" t="inlineStr">
        <is>
          <t>991003572629702656</t>
        </is>
      </c>
      <c r="AY534" t="inlineStr">
        <is>
          <t>2261182310002656</t>
        </is>
      </c>
      <c r="AZ534" t="inlineStr">
        <is>
          <t>BOOK</t>
        </is>
      </c>
      <c r="BC534" t="inlineStr">
        <is>
          <t>32285000132265</t>
        </is>
      </c>
      <c r="BD534" t="inlineStr">
        <is>
          <t>893799887</t>
        </is>
      </c>
    </row>
    <row r="535">
      <c r="A535" t="inlineStr">
        <is>
          <t>No</t>
        </is>
      </c>
      <c r="B535" t="inlineStr">
        <is>
          <t>BV4501 .I5 1952</t>
        </is>
      </c>
      <c r="C535" t="inlineStr">
        <is>
          <t>0                      BV 4501000I  5           1952</t>
        </is>
      </c>
      <c r="D535" t="inlineStr">
        <is>
          <t>The Interior life simplified and reduced to its fundamental principle / edited by Joseph Tissot. Translated by W. H. Mitchell.</t>
        </is>
      </c>
      <c r="F535" t="inlineStr">
        <is>
          <t>No</t>
        </is>
      </c>
      <c r="G535" t="inlineStr">
        <is>
          <t>1</t>
        </is>
      </c>
      <c r="H535" t="inlineStr">
        <is>
          <t>No</t>
        </is>
      </c>
      <c r="I535" t="inlineStr">
        <is>
          <t>No</t>
        </is>
      </c>
      <c r="J535" t="inlineStr">
        <is>
          <t>0</t>
        </is>
      </c>
      <c r="L535" t="inlineStr">
        <is>
          <t>Westminster, Md. : Newman Press, 1952, c1943.</t>
        </is>
      </c>
      <c r="M535" t="inlineStr">
        <is>
          <t>1949</t>
        </is>
      </c>
      <c r="N535" t="inlineStr">
        <is>
          <t>[2d ed]</t>
        </is>
      </c>
      <c r="O535" t="inlineStr">
        <is>
          <t>eng</t>
        </is>
      </c>
      <c r="P535" t="inlineStr">
        <is>
          <t xml:space="preserve">xx </t>
        </is>
      </c>
      <c r="R535" t="inlineStr">
        <is>
          <t xml:space="preserve">BV </t>
        </is>
      </c>
      <c r="S535" t="n">
        <v>2</v>
      </c>
      <c r="T535" t="n">
        <v>2</v>
      </c>
      <c r="U535" t="inlineStr">
        <is>
          <t>1998-08-24</t>
        </is>
      </c>
      <c r="V535" t="inlineStr">
        <is>
          <t>1998-08-24</t>
        </is>
      </c>
      <c r="W535" t="inlineStr">
        <is>
          <t>1992-02-25</t>
        </is>
      </c>
      <c r="X535" t="inlineStr">
        <is>
          <t>1992-02-25</t>
        </is>
      </c>
      <c r="Y535" t="n">
        <v>40</v>
      </c>
      <c r="Z535" t="n">
        <v>38</v>
      </c>
      <c r="AA535" t="n">
        <v>137</v>
      </c>
      <c r="AB535" t="n">
        <v>1</v>
      </c>
      <c r="AC535" t="n">
        <v>3</v>
      </c>
      <c r="AD535" t="n">
        <v>6</v>
      </c>
      <c r="AE535" t="n">
        <v>20</v>
      </c>
      <c r="AF535" t="n">
        <v>1</v>
      </c>
      <c r="AG535" t="n">
        <v>5</v>
      </c>
      <c r="AH535" t="n">
        <v>2</v>
      </c>
      <c r="AI535" t="n">
        <v>8</v>
      </c>
      <c r="AJ535" t="n">
        <v>6</v>
      </c>
      <c r="AK535" t="n">
        <v>15</v>
      </c>
      <c r="AL535" t="n">
        <v>0</v>
      </c>
      <c r="AM535" t="n">
        <v>0</v>
      </c>
      <c r="AN535" t="n">
        <v>0</v>
      </c>
      <c r="AO535" t="n">
        <v>0</v>
      </c>
      <c r="AP535" t="inlineStr">
        <is>
          <t>No</t>
        </is>
      </c>
      <c r="AQ535" t="inlineStr">
        <is>
          <t>Yes</t>
        </is>
      </c>
      <c r="AR535">
        <f>HYPERLINK("http://catalog.hathitrust.org/Record/005775093","HathiTrust Record")</f>
        <v/>
      </c>
      <c r="AS535">
        <f>HYPERLINK("https://creighton-primo.hosted.exlibrisgroup.com/primo-explore/search?tab=default_tab&amp;search_scope=EVERYTHING&amp;vid=01CRU&amp;lang=en_US&amp;offset=0&amp;query=any,contains,991004367419702656","Catalog Record")</f>
        <v/>
      </c>
      <c r="AT535">
        <f>HYPERLINK("http://www.worldcat.org/oclc/3174936","WorldCat Record")</f>
        <v/>
      </c>
      <c r="AU535" t="inlineStr">
        <is>
          <t>4919039884:eng</t>
        </is>
      </c>
      <c r="AV535" t="inlineStr">
        <is>
          <t>3174936</t>
        </is>
      </c>
      <c r="AW535" t="inlineStr">
        <is>
          <t>991004367419702656</t>
        </is>
      </c>
      <c r="AX535" t="inlineStr">
        <is>
          <t>991004367419702656</t>
        </is>
      </c>
      <c r="AY535" t="inlineStr">
        <is>
          <t>2267897010002656</t>
        </is>
      </c>
      <c r="AZ535" t="inlineStr">
        <is>
          <t>BOOK</t>
        </is>
      </c>
      <c r="BC535" t="inlineStr">
        <is>
          <t>32285000966357</t>
        </is>
      </c>
      <c r="BD535" t="inlineStr">
        <is>
          <t>893519569</t>
        </is>
      </c>
    </row>
    <row r="536">
      <c r="A536" t="inlineStr">
        <is>
          <t>No</t>
        </is>
      </c>
      <c r="B536" t="inlineStr">
        <is>
          <t>BV4501 .K4242 1948</t>
        </is>
      </c>
      <c r="C536" t="inlineStr">
        <is>
          <t>0                      BV 4501000K  4242        1948</t>
        </is>
      </c>
      <c r="D536" t="inlineStr">
        <is>
          <t>You can change the world! : the Christopher approach / James Keller.</t>
        </is>
      </c>
      <c r="F536" t="inlineStr">
        <is>
          <t>No</t>
        </is>
      </c>
      <c r="G536" t="inlineStr">
        <is>
          <t>1</t>
        </is>
      </c>
      <c r="H536" t="inlineStr">
        <is>
          <t>No</t>
        </is>
      </c>
      <c r="I536" t="inlineStr">
        <is>
          <t>No</t>
        </is>
      </c>
      <c r="J536" t="inlineStr">
        <is>
          <t>0</t>
        </is>
      </c>
      <c r="K536" t="inlineStr">
        <is>
          <t>Keller, James, 1900-1977.</t>
        </is>
      </c>
      <c r="L536" t="inlineStr">
        <is>
          <t>New York : Longmans, Green, [1948]</t>
        </is>
      </c>
      <c r="M536" t="inlineStr">
        <is>
          <t>1948</t>
        </is>
      </c>
      <c r="O536" t="inlineStr">
        <is>
          <t>eng</t>
        </is>
      </c>
      <c r="P536" t="inlineStr">
        <is>
          <t xml:space="preserve">xx </t>
        </is>
      </c>
      <c r="R536" t="inlineStr">
        <is>
          <t xml:space="preserve">BV </t>
        </is>
      </c>
      <c r="S536" t="n">
        <v>3</v>
      </c>
      <c r="T536" t="n">
        <v>3</v>
      </c>
      <c r="U536" t="inlineStr">
        <is>
          <t>1994-09-11</t>
        </is>
      </c>
      <c r="V536" t="inlineStr">
        <is>
          <t>1994-09-11</t>
        </is>
      </c>
      <c r="W536" t="inlineStr">
        <is>
          <t>1992-02-25</t>
        </is>
      </c>
      <c r="X536" t="inlineStr">
        <is>
          <t>1992-02-25</t>
        </is>
      </c>
      <c r="Y536" t="n">
        <v>524</v>
      </c>
      <c r="Z536" t="n">
        <v>499</v>
      </c>
      <c r="AA536" t="n">
        <v>591</v>
      </c>
      <c r="AB536" t="n">
        <v>5</v>
      </c>
      <c r="AC536" t="n">
        <v>6</v>
      </c>
      <c r="AD536" t="n">
        <v>35</v>
      </c>
      <c r="AE536" t="n">
        <v>35</v>
      </c>
      <c r="AF536" t="n">
        <v>14</v>
      </c>
      <c r="AG536" t="n">
        <v>14</v>
      </c>
      <c r="AH536" t="n">
        <v>8</v>
      </c>
      <c r="AI536" t="n">
        <v>8</v>
      </c>
      <c r="AJ536" t="n">
        <v>17</v>
      </c>
      <c r="AK536" t="n">
        <v>17</v>
      </c>
      <c r="AL536" t="n">
        <v>4</v>
      </c>
      <c r="AM536" t="n">
        <v>4</v>
      </c>
      <c r="AN536" t="n">
        <v>0</v>
      </c>
      <c r="AO536" t="n">
        <v>0</v>
      </c>
      <c r="AP536" t="inlineStr">
        <is>
          <t>Yes</t>
        </is>
      </c>
      <c r="AQ536" t="inlineStr">
        <is>
          <t>No</t>
        </is>
      </c>
      <c r="AR536">
        <f>HYPERLINK("http://catalog.hathitrust.org/Record/005775849","HathiTrust Record")</f>
        <v/>
      </c>
      <c r="AS536">
        <f>HYPERLINK("https://creighton-primo.hosted.exlibrisgroup.com/primo-explore/search?tab=default_tab&amp;search_scope=EVERYTHING&amp;vid=01CRU&amp;lang=en_US&amp;offset=0&amp;query=any,contains,991003474949702656","Catalog Record")</f>
        <v/>
      </c>
      <c r="AT536">
        <f>HYPERLINK("http://www.worldcat.org/oclc/1019154","WorldCat Record")</f>
        <v/>
      </c>
      <c r="AU536" t="inlineStr">
        <is>
          <t>41107450:eng</t>
        </is>
      </c>
      <c r="AV536" t="inlineStr">
        <is>
          <t>1019154</t>
        </is>
      </c>
      <c r="AW536" t="inlineStr">
        <is>
          <t>991003474949702656</t>
        </is>
      </c>
      <c r="AX536" t="inlineStr">
        <is>
          <t>991003474949702656</t>
        </is>
      </c>
      <c r="AY536" t="inlineStr">
        <is>
          <t>2258263290002656</t>
        </is>
      </c>
      <c r="AZ536" t="inlineStr">
        <is>
          <t>BOOK</t>
        </is>
      </c>
      <c r="BC536" t="inlineStr">
        <is>
          <t>32285000966365</t>
        </is>
      </c>
      <c r="BD536" t="inlineStr">
        <is>
          <t>893900002</t>
        </is>
      </c>
    </row>
    <row r="537">
      <c r="A537" t="inlineStr">
        <is>
          <t>No</t>
        </is>
      </c>
      <c r="B537" t="inlineStr">
        <is>
          <t>BV4501 .P259 1988</t>
        </is>
      </c>
      <c r="C537" t="inlineStr">
        <is>
          <t>0                      BV 4501000P  259         1988</t>
        </is>
      </c>
      <c r="D537" t="inlineStr">
        <is>
          <t>Phoebe Palmer : selected writings / edited by Thomas C. Oden.</t>
        </is>
      </c>
      <c r="F537" t="inlineStr">
        <is>
          <t>No</t>
        </is>
      </c>
      <c r="G537" t="inlineStr">
        <is>
          <t>1</t>
        </is>
      </c>
      <c r="H537" t="inlineStr">
        <is>
          <t>No</t>
        </is>
      </c>
      <c r="I537" t="inlineStr">
        <is>
          <t>No</t>
        </is>
      </c>
      <c r="J537" t="inlineStr">
        <is>
          <t>0</t>
        </is>
      </c>
      <c r="K537" t="inlineStr">
        <is>
          <t>Palmer, Phoebe, 1807-1874.</t>
        </is>
      </c>
      <c r="L537" t="inlineStr">
        <is>
          <t>New York : Paulist Press, c1988.</t>
        </is>
      </c>
      <c r="M537" t="inlineStr">
        <is>
          <t>1988</t>
        </is>
      </c>
      <c r="O537" t="inlineStr">
        <is>
          <t>eng</t>
        </is>
      </c>
      <c r="P537" t="inlineStr">
        <is>
          <t>nyu</t>
        </is>
      </c>
      <c r="Q537" t="inlineStr">
        <is>
          <t>Sources of American spirituality</t>
        </is>
      </c>
      <c r="R537" t="inlineStr">
        <is>
          <t xml:space="preserve">BV </t>
        </is>
      </c>
      <c r="S537" t="n">
        <v>1</v>
      </c>
      <c r="T537" t="n">
        <v>1</v>
      </c>
      <c r="U537" t="inlineStr">
        <is>
          <t>1999-06-15</t>
        </is>
      </c>
      <c r="V537" t="inlineStr">
        <is>
          <t>1999-06-15</t>
        </is>
      </c>
      <c r="W537" t="inlineStr">
        <is>
          <t>1992-02-26</t>
        </is>
      </c>
      <c r="X537" t="inlineStr">
        <is>
          <t>1992-02-26</t>
        </is>
      </c>
      <c r="Y537" t="n">
        <v>404</v>
      </c>
      <c r="Z537" t="n">
        <v>381</v>
      </c>
      <c r="AA537" t="n">
        <v>381</v>
      </c>
      <c r="AB537" t="n">
        <v>2</v>
      </c>
      <c r="AC537" t="n">
        <v>2</v>
      </c>
      <c r="AD537" t="n">
        <v>28</v>
      </c>
      <c r="AE537" t="n">
        <v>28</v>
      </c>
      <c r="AF537" t="n">
        <v>12</v>
      </c>
      <c r="AG537" t="n">
        <v>12</v>
      </c>
      <c r="AH537" t="n">
        <v>5</v>
      </c>
      <c r="AI537" t="n">
        <v>5</v>
      </c>
      <c r="AJ537" t="n">
        <v>17</v>
      </c>
      <c r="AK537" t="n">
        <v>17</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HYPERLINK("https://creighton-primo.hosted.exlibrisgroup.com/primo-explore/search?tab=default_tab&amp;search_scope=EVERYTHING&amp;vid=01CRU&amp;lang=en_US&amp;offset=0&amp;query=any,contains,991001254119702656","Catalog Record")</f>
        <v/>
      </c>
      <c r="AT537">
        <f>HYPERLINK("http://www.worldcat.org/oclc/17726847","WorldCat Record")</f>
        <v/>
      </c>
      <c r="AU537" t="inlineStr">
        <is>
          <t>1059100096:eng</t>
        </is>
      </c>
      <c r="AV537" t="inlineStr">
        <is>
          <t>17726847</t>
        </is>
      </c>
      <c r="AW537" t="inlineStr">
        <is>
          <t>991001254119702656</t>
        </is>
      </c>
      <c r="AX537" t="inlineStr">
        <is>
          <t>991001254119702656</t>
        </is>
      </c>
      <c r="AY537" t="inlineStr">
        <is>
          <t>2258666520002656</t>
        </is>
      </c>
      <c r="AZ537" t="inlineStr">
        <is>
          <t>BOOK</t>
        </is>
      </c>
      <c r="BB537" t="inlineStr">
        <is>
          <t>9780809104055</t>
        </is>
      </c>
      <c r="BC537" t="inlineStr">
        <is>
          <t>32285000966423</t>
        </is>
      </c>
      <c r="BD537" t="inlineStr">
        <is>
          <t>893534491</t>
        </is>
      </c>
    </row>
    <row r="538">
      <c r="A538" t="inlineStr">
        <is>
          <t>No</t>
        </is>
      </c>
      <c r="B538" t="inlineStr">
        <is>
          <t>BV4501 .U45 1947</t>
        </is>
      </c>
      <c r="C538" t="inlineStr">
        <is>
          <t>0                      BV 4501000U  45          1947</t>
        </is>
      </c>
      <c r="D538" t="inlineStr">
        <is>
          <t>Concerning the inner life : with The house of the soul / by Evelyn Churchill.</t>
        </is>
      </c>
      <c r="F538" t="inlineStr">
        <is>
          <t>No</t>
        </is>
      </c>
      <c r="G538" t="inlineStr">
        <is>
          <t>1</t>
        </is>
      </c>
      <c r="H538" t="inlineStr">
        <is>
          <t>No</t>
        </is>
      </c>
      <c r="I538" t="inlineStr">
        <is>
          <t>No</t>
        </is>
      </c>
      <c r="J538" t="inlineStr">
        <is>
          <t>0</t>
        </is>
      </c>
      <c r="K538" t="inlineStr">
        <is>
          <t>Underhill, Evelyn, 1875-1941.</t>
        </is>
      </c>
      <c r="L538" t="inlineStr">
        <is>
          <t>London : Methuen, 1947.</t>
        </is>
      </c>
      <c r="M538" t="inlineStr">
        <is>
          <t>1947</t>
        </is>
      </c>
      <c r="O538" t="inlineStr">
        <is>
          <t>eng</t>
        </is>
      </c>
      <c r="P538" t="inlineStr">
        <is>
          <t>enk</t>
        </is>
      </c>
      <c r="R538" t="inlineStr">
        <is>
          <t xml:space="preserve">BV </t>
        </is>
      </c>
      <c r="S538" t="n">
        <v>9</v>
      </c>
      <c r="T538" t="n">
        <v>9</v>
      </c>
      <c r="U538" t="inlineStr">
        <is>
          <t>2009-07-14</t>
        </is>
      </c>
      <c r="V538" t="inlineStr">
        <is>
          <t>2009-07-14</t>
        </is>
      </c>
      <c r="W538" t="inlineStr">
        <is>
          <t>1992-02-26</t>
        </is>
      </c>
      <c r="X538" t="inlineStr">
        <is>
          <t>1992-02-26</t>
        </is>
      </c>
      <c r="Y538" t="n">
        <v>129</v>
      </c>
      <c r="Z538" t="n">
        <v>96</v>
      </c>
      <c r="AA538" t="n">
        <v>172</v>
      </c>
      <c r="AB538" t="n">
        <v>1</v>
      </c>
      <c r="AC538" t="n">
        <v>1</v>
      </c>
      <c r="AD538" t="n">
        <v>7</v>
      </c>
      <c r="AE538" t="n">
        <v>11</v>
      </c>
      <c r="AF538" t="n">
        <v>3</v>
      </c>
      <c r="AG538" t="n">
        <v>3</v>
      </c>
      <c r="AH538" t="n">
        <v>2</v>
      </c>
      <c r="AI538" t="n">
        <v>4</v>
      </c>
      <c r="AJ538" t="n">
        <v>4</v>
      </c>
      <c r="AK538" t="n">
        <v>7</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HYPERLINK("https://creighton-primo.hosted.exlibrisgroup.com/primo-explore/search?tab=default_tab&amp;search_scope=EVERYTHING&amp;vid=01CRU&amp;lang=en_US&amp;offset=0&amp;query=any,contains,991004628679702656","Catalog Record")</f>
        <v/>
      </c>
      <c r="AT538">
        <f>HYPERLINK("http://www.worldcat.org/oclc/4358647","WorldCat Record")</f>
        <v/>
      </c>
      <c r="AU538" t="inlineStr">
        <is>
          <t>3943458748:eng</t>
        </is>
      </c>
      <c r="AV538" t="inlineStr">
        <is>
          <t>4358647</t>
        </is>
      </c>
      <c r="AW538" t="inlineStr">
        <is>
          <t>991004628679702656</t>
        </is>
      </c>
      <c r="AX538" t="inlineStr">
        <is>
          <t>991004628679702656</t>
        </is>
      </c>
      <c r="AY538" t="inlineStr">
        <is>
          <t>2266937440002656</t>
        </is>
      </c>
      <c r="AZ538" t="inlineStr">
        <is>
          <t>BOOK</t>
        </is>
      </c>
      <c r="BC538" t="inlineStr">
        <is>
          <t>32285000966431</t>
        </is>
      </c>
      <c r="BD538" t="inlineStr">
        <is>
          <t>893612571</t>
        </is>
      </c>
    </row>
    <row r="539">
      <c r="A539" t="inlineStr">
        <is>
          <t>No</t>
        </is>
      </c>
      <c r="B539" t="inlineStr">
        <is>
          <t>BV4501 .U46 1960</t>
        </is>
      </c>
      <c r="C539" t="inlineStr">
        <is>
          <t>0                      BV 4501000U  46          1960</t>
        </is>
      </c>
      <c r="D539" t="inlineStr">
        <is>
          <t>The golden sequence : a fourfold study of the spiritual life / Evelyn Underhill.</t>
        </is>
      </c>
      <c r="F539" t="inlineStr">
        <is>
          <t>No</t>
        </is>
      </c>
      <c r="G539" t="inlineStr">
        <is>
          <t>1</t>
        </is>
      </c>
      <c r="H539" t="inlineStr">
        <is>
          <t>No</t>
        </is>
      </c>
      <c r="I539" t="inlineStr">
        <is>
          <t>No</t>
        </is>
      </c>
      <c r="J539" t="inlineStr">
        <is>
          <t>0</t>
        </is>
      </c>
      <c r="K539" t="inlineStr">
        <is>
          <t>Underhill, Evelyn, 1875-1941.</t>
        </is>
      </c>
      <c r="L539" t="inlineStr">
        <is>
          <t>New York : Harper, 1960, c1933.</t>
        </is>
      </c>
      <c r="M539" t="inlineStr">
        <is>
          <t>1960</t>
        </is>
      </c>
      <c r="O539" t="inlineStr">
        <is>
          <t>eng</t>
        </is>
      </c>
      <c r="P539" t="inlineStr">
        <is>
          <t xml:space="preserve">xx </t>
        </is>
      </c>
      <c r="Q539" t="inlineStr">
        <is>
          <t>Harper Torchbooks. The Cloister library.</t>
        </is>
      </c>
      <c r="R539" t="inlineStr">
        <is>
          <t xml:space="preserve">BV </t>
        </is>
      </c>
      <c r="S539" t="n">
        <v>6</v>
      </c>
      <c r="T539" t="n">
        <v>6</v>
      </c>
      <c r="U539" t="inlineStr">
        <is>
          <t>1998-07-11</t>
        </is>
      </c>
      <c r="V539" t="inlineStr">
        <is>
          <t>1998-07-11</t>
        </is>
      </c>
      <c r="W539" t="inlineStr">
        <is>
          <t>1993-05-28</t>
        </is>
      </c>
      <c r="X539" t="inlineStr">
        <is>
          <t>1993-05-28</t>
        </is>
      </c>
      <c r="Y539" t="n">
        <v>108</v>
      </c>
      <c r="Z539" t="n">
        <v>97</v>
      </c>
      <c r="AA539" t="n">
        <v>255</v>
      </c>
      <c r="AB539" t="n">
        <v>3</v>
      </c>
      <c r="AC539" t="n">
        <v>3</v>
      </c>
      <c r="AD539" t="n">
        <v>4</v>
      </c>
      <c r="AE539" t="n">
        <v>11</v>
      </c>
      <c r="AF539" t="n">
        <v>1</v>
      </c>
      <c r="AG539" t="n">
        <v>3</v>
      </c>
      <c r="AH539" t="n">
        <v>1</v>
      </c>
      <c r="AI539" t="n">
        <v>1</v>
      </c>
      <c r="AJ539" t="n">
        <v>1</v>
      </c>
      <c r="AK539" t="n">
        <v>6</v>
      </c>
      <c r="AL539" t="n">
        <v>1</v>
      </c>
      <c r="AM539" t="n">
        <v>1</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HYPERLINK("https://creighton-primo.hosted.exlibrisgroup.com/primo-explore/search?tab=default_tab&amp;search_scope=EVERYTHING&amp;vid=01CRU&amp;lang=en_US&amp;offset=0&amp;query=any,contains,991004418369702656","Catalog Record")</f>
        <v/>
      </c>
      <c r="AT539">
        <f>HYPERLINK("http://www.worldcat.org/oclc/3373537","WorldCat Record")</f>
        <v/>
      </c>
      <c r="AU539" t="inlineStr">
        <is>
          <t>2756370:eng</t>
        </is>
      </c>
      <c r="AV539" t="inlineStr">
        <is>
          <t>3373537</t>
        </is>
      </c>
      <c r="AW539" t="inlineStr">
        <is>
          <t>991004418369702656</t>
        </is>
      </c>
      <c r="AX539" t="inlineStr">
        <is>
          <t>991004418369702656</t>
        </is>
      </c>
      <c r="AY539" t="inlineStr">
        <is>
          <t>2259577040002656</t>
        </is>
      </c>
      <c r="AZ539" t="inlineStr">
        <is>
          <t>BOOK</t>
        </is>
      </c>
      <c r="BC539" t="inlineStr">
        <is>
          <t>32285001668754</t>
        </is>
      </c>
      <c r="BD539" t="inlineStr">
        <is>
          <t>893343812</t>
        </is>
      </c>
    </row>
    <row r="540">
      <c r="A540" t="inlineStr">
        <is>
          <t>No</t>
        </is>
      </c>
      <c r="B540" t="inlineStr">
        <is>
          <t>BV4501 .U5</t>
        </is>
      </c>
      <c r="C540" t="inlineStr">
        <is>
          <t>0                      BV 4501000U  5</t>
        </is>
      </c>
      <c r="D540" t="inlineStr">
        <is>
          <t>The life of the spirit and the life of to-day / by Evelyn Underhill.</t>
        </is>
      </c>
      <c r="F540" t="inlineStr">
        <is>
          <t>No</t>
        </is>
      </c>
      <c r="G540" t="inlineStr">
        <is>
          <t>1</t>
        </is>
      </c>
      <c r="H540" t="inlineStr">
        <is>
          <t>No</t>
        </is>
      </c>
      <c r="I540" t="inlineStr">
        <is>
          <t>No</t>
        </is>
      </c>
      <c r="J540" t="inlineStr">
        <is>
          <t>0</t>
        </is>
      </c>
      <c r="K540" t="inlineStr">
        <is>
          <t>Underhill, Evelyn, 1875-1941.</t>
        </is>
      </c>
      <c r="L540" t="inlineStr">
        <is>
          <t>New York : Dutton, c1922.</t>
        </is>
      </c>
      <c r="M540" t="inlineStr">
        <is>
          <t>1922</t>
        </is>
      </c>
      <c r="O540" t="inlineStr">
        <is>
          <t>eng</t>
        </is>
      </c>
      <c r="P540" t="inlineStr">
        <is>
          <t>nyu</t>
        </is>
      </c>
      <c r="R540" t="inlineStr">
        <is>
          <t xml:space="preserve">BV </t>
        </is>
      </c>
      <c r="S540" t="n">
        <v>4</v>
      </c>
      <c r="T540" t="n">
        <v>4</v>
      </c>
      <c r="U540" t="inlineStr">
        <is>
          <t>1995-07-11</t>
        </is>
      </c>
      <c r="V540" t="inlineStr">
        <is>
          <t>1995-07-11</t>
        </is>
      </c>
      <c r="W540" t="inlineStr">
        <is>
          <t>1992-02-26</t>
        </is>
      </c>
      <c r="X540" t="inlineStr">
        <is>
          <t>1992-02-26</t>
        </is>
      </c>
      <c r="Y540" t="n">
        <v>217</v>
      </c>
      <c r="Z540" t="n">
        <v>205</v>
      </c>
      <c r="AA540" t="n">
        <v>510</v>
      </c>
      <c r="AB540" t="n">
        <v>2</v>
      </c>
      <c r="AC540" t="n">
        <v>2</v>
      </c>
      <c r="AD540" t="n">
        <v>8</v>
      </c>
      <c r="AE540" t="n">
        <v>23</v>
      </c>
      <c r="AF540" t="n">
        <v>4</v>
      </c>
      <c r="AG540" t="n">
        <v>14</v>
      </c>
      <c r="AH540" t="n">
        <v>2</v>
      </c>
      <c r="AI540" t="n">
        <v>6</v>
      </c>
      <c r="AJ540" t="n">
        <v>4</v>
      </c>
      <c r="AK540" t="n">
        <v>8</v>
      </c>
      <c r="AL540" t="n">
        <v>1</v>
      </c>
      <c r="AM540" t="n">
        <v>1</v>
      </c>
      <c r="AN540" t="n">
        <v>0</v>
      </c>
      <c r="AO540" t="n">
        <v>0</v>
      </c>
      <c r="AP540" t="inlineStr">
        <is>
          <t>Yes</t>
        </is>
      </c>
      <c r="AQ540" t="inlineStr">
        <is>
          <t>No</t>
        </is>
      </c>
      <c r="AR540">
        <f>HYPERLINK("http://catalog.hathitrust.org/Record/100435505","HathiTrust Record")</f>
        <v/>
      </c>
      <c r="AS540">
        <f>HYPERLINK("https://creighton-primo.hosted.exlibrisgroup.com/primo-explore/search?tab=default_tab&amp;search_scope=EVERYTHING&amp;vid=01CRU&amp;lang=en_US&amp;offset=0&amp;query=any,contains,991003383999702656","Catalog Record")</f>
        <v/>
      </c>
      <c r="AT540">
        <f>HYPERLINK("http://www.worldcat.org/oclc/921480","WorldCat Record")</f>
        <v/>
      </c>
      <c r="AU540" t="inlineStr">
        <is>
          <t>1866074:eng</t>
        </is>
      </c>
      <c r="AV540" t="inlineStr">
        <is>
          <t>921480</t>
        </is>
      </c>
      <c r="AW540" t="inlineStr">
        <is>
          <t>991003383999702656</t>
        </is>
      </c>
      <c r="AX540" t="inlineStr">
        <is>
          <t>991003383999702656</t>
        </is>
      </c>
      <c r="AY540" t="inlineStr">
        <is>
          <t>2269966780002656</t>
        </is>
      </c>
      <c r="AZ540" t="inlineStr">
        <is>
          <t>BOOK</t>
        </is>
      </c>
      <c r="BC540" t="inlineStr">
        <is>
          <t>32285000966449</t>
        </is>
      </c>
      <c r="BD540" t="inlineStr">
        <is>
          <t>893705175</t>
        </is>
      </c>
    </row>
    <row r="541">
      <c r="A541" t="inlineStr">
        <is>
          <t>No</t>
        </is>
      </c>
      <c r="B541" t="inlineStr">
        <is>
          <t>BV4501 .U52 1968</t>
        </is>
      </c>
      <c r="C541" t="inlineStr">
        <is>
          <t>0                      BV 4501000U  52          1968</t>
        </is>
      </c>
      <c r="D541" t="inlineStr">
        <is>
          <t>Mixed pasture : twelve essays and addresses / by Evelyn Underhill.</t>
        </is>
      </c>
      <c r="F541" t="inlineStr">
        <is>
          <t>No</t>
        </is>
      </c>
      <c r="G541" t="inlineStr">
        <is>
          <t>1</t>
        </is>
      </c>
      <c r="H541" t="inlineStr">
        <is>
          <t>No</t>
        </is>
      </c>
      <c r="I541" t="inlineStr">
        <is>
          <t>No</t>
        </is>
      </c>
      <c r="J541" t="inlineStr">
        <is>
          <t>0</t>
        </is>
      </c>
      <c r="K541" t="inlineStr">
        <is>
          <t>Underhill, Evelyn, 1875-1941.</t>
        </is>
      </c>
      <c r="L541" t="inlineStr">
        <is>
          <t>Freeport, N.Y., Books for Libraries Press [1968]</t>
        </is>
      </c>
      <c r="M541" t="inlineStr">
        <is>
          <t>1968</t>
        </is>
      </c>
      <c r="O541" t="inlineStr">
        <is>
          <t>eng</t>
        </is>
      </c>
      <c r="P541" t="inlineStr">
        <is>
          <t>nyu</t>
        </is>
      </c>
      <c r="Q541" t="inlineStr">
        <is>
          <t>Essay index reprint series</t>
        </is>
      </c>
      <c r="R541" t="inlineStr">
        <is>
          <t xml:space="preserve">BV </t>
        </is>
      </c>
      <c r="S541" t="n">
        <v>9</v>
      </c>
      <c r="T541" t="n">
        <v>9</v>
      </c>
      <c r="U541" t="inlineStr">
        <is>
          <t>2010-09-26</t>
        </is>
      </c>
      <c r="V541" t="inlineStr">
        <is>
          <t>2010-09-26</t>
        </is>
      </c>
      <c r="W541" t="inlineStr">
        <is>
          <t>1991-07-11</t>
        </is>
      </c>
      <c r="X541" t="inlineStr">
        <is>
          <t>1991-07-11</t>
        </is>
      </c>
      <c r="Y541" t="n">
        <v>273</v>
      </c>
      <c r="Z541" t="n">
        <v>257</v>
      </c>
      <c r="AA541" t="n">
        <v>400</v>
      </c>
      <c r="AB541" t="n">
        <v>3</v>
      </c>
      <c r="AC541" t="n">
        <v>4</v>
      </c>
      <c r="AD541" t="n">
        <v>14</v>
      </c>
      <c r="AE541" t="n">
        <v>21</v>
      </c>
      <c r="AF541" t="n">
        <v>4</v>
      </c>
      <c r="AG541" t="n">
        <v>6</v>
      </c>
      <c r="AH541" t="n">
        <v>4</v>
      </c>
      <c r="AI541" t="n">
        <v>8</v>
      </c>
      <c r="AJ541" t="n">
        <v>7</v>
      </c>
      <c r="AK541" t="n">
        <v>10</v>
      </c>
      <c r="AL541" t="n">
        <v>2</v>
      </c>
      <c r="AM541" t="n">
        <v>3</v>
      </c>
      <c r="AN541" t="n">
        <v>0</v>
      </c>
      <c r="AO541" t="n">
        <v>0</v>
      </c>
      <c r="AP541" t="inlineStr">
        <is>
          <t>No</t>
        </is>
      </c>
      <c r="AQ541" t="inlineStr">
        <is>
          <t>Yes</t>
        </is>
      </c>
      <c r="AR541">
        <f>HYPERLINK("http://catalog.hathitrust.org/Record/012270949","HathiTrust Record")</f>
        <v/>
      </c>
      <c r="AS541">
        <f>HYPERLINK("https://creighton-primo.hosted.exlibrisgroup.com/primo-explore/search?tab=default_tab&amp;search_scope=EVERYTHING&amp;vid=01CRU&amp;lang=en_US&amp;offset=0&amp;query=any,contains,991002767179702656","Catalog Record")</f>
        <v/>
      </c>
      <c r="AT541">
        <f>HYPERLINK("http://www.worldcat.org/oclc/384071","WorldCat Record")</f>
        <v/>
      </c>
      <c r="AU541" t="inlineStr">
        <is>
          <t>1502712:eng</t>
        </is>
      </c>
      <c r="AV541" t="inlineStr">
        <is>
          <t>384071</t>
        </is>
      </c>
      <c r="AW541" t="inlineStr">
        <is>
          <t>991002767179702656</t>
        </is>
      </c>
      <c r="AX541" t="inlineStr">
        <is>
          <t>991002767179702656</t>
        </is>
      </c>
      <c r="AY541" t="inlineStr">
        <is>
          <t>2269427140002656</t>
        </is>
      </c>
      <c r="AZ541" t="inlineStr">
        <is>
          <t>BOOK</t>
        </is>
      </c>
      <c r="BC541" t="inlineStr">
        <is>
          <t>32285000637156</t>
        </is>
      </c>
      <c r="BD541" t="inlineStr">
        <is>
          <t>893341823</t>
        </is>
      </c>
    </row>
    <row r="542">
      <c r="A542" t="inlineStr">
        <is>
          <t>No</t>
        </is>
      </c>
      <c r="B542" t="inlineStr">
        <is>
          <t>BV4501.2 .A432 1981</t>
        </is>
      </c>
      <c r="C542" t="inlineStr">
        <is>
          <t>0                      BV 4501200A  432         1981</t>
        </is>
      </c>
      <c r="D542" t="inlineStr">
        <is>
          <t>The traces of God in a frequently hostile world / Diogenes Allen.</t>
        </is>
      </c>
      <c r="F542" t="inlineStr">
        <is>
          <t>No</t>
        </is>
      </c>
      <c r="G542" t="inlineStr">
        <is>
          <t>1</t>
        </is>
      </c>
      <c r="H542" t="inlineStr">
        <is>
          <t>No</t>
        </is>
      </c>
      <c r="I542" t="inlineStr">
        <is>
          <t>No</t>
        </is>
      </c>
      <c r="J542" t="inlineStr">
        <is>
          <t>0</t>
        </is>
      </c>
      <c r="K542" t="inlineStr">
        <is>
          <t>Allen, Diogenes.</t>
        </is>
      </c>
      <c r="L542" t="inlineStr">
        <is>
          <t>Cambridge, MA : Cowley, c1981.</t>
        </is>
      </c>
      <c r="M542" t="inlineStr">
        <is>
          <t>1981</t>
        </is>
      </c>
      <c r="O542" t="inlineStr">
        <is>
          <t>eng</t>
        </is>
      </c>
      <c r="P542" t="inlineStr">
        <is>
          <t>mau</t>
        </is>
      </c>
      <c r="R542" t="inlineStr">
        <is>
          <t xml:space="preserve">BV </t>
        </is>
      </c>
      <c r="S542" t="n">
        <v>5</v>
      </c>
      <c r="T542" t="n">
        <v>5</v>
      </c>
      <c r="U542" t="inlineStr">
        <is>
          <t>1996-02-19</t>
        </is>
      </c>
      <c r="V542" t="inlineStr">
        <is>
          <t>1996-02-19</t>
        </is>
      </c>
      <c r="W542" t="inlineStr">
        <is>
          <t>1992-02-26</t>
        </is>
      </c>
      <c r="X542" t="inlineStr">
        <is>
          <t>1992-02-26</t>
        </is>
      </c>
      <c r="Y542" t="n">
        <v>306</v>
      </c>
      <c r="Z542" t="n">
        <v>269</v>
      </c>
      <c r="AA542" t="n">
        <v>286</v>
      </c>
      <c r="AB542" t="n">
        <v>2</v>
      </c>
      <c r="AC542" t="n">
        <v>3</v>
      </c>
      <c r="AD542" t="n">
        <v>22</v>
      </c>
      <c r="AE542" t="n">
        <v>23</v>
      </c>
      <c r="AF542" t="n">
        <v>7</v>
      </c>
      <c r="AG542" t="n">
        <v>7</v>
      </c>
      <c r="AH542" t="n">
        <v>5</v>
      </c>
      <c r="AI542" t="n">
        <v>5</v>
      </c>
      <c r="AJ542" t="n">
        <v>16</v>
      </c>
      <c r="AK542" t="n">
        <v>16</v>
      </c>
      <c r="AL542" t="n">
        <v>1</v>
      </c>
      <c r="AM542" t="n">
        <v>2</v>
      </c>
      <c r="AN542" t="n">
        <v>0</v>
      </c>
      <c r="AO542" t="n">
        <v>0</v>
      </c>
      <c r="AP542" t="inlineStr">
        <is>
          <t>No</t>
        </is>
      </c>
      <c r="AQ542" t="inlineStr">
        <is>
          <t>Yes</t>
        </is>
      </c>
      <c r="AR542">
        <f>HYPERLINK("http://catalog.hathitrust.org/Record/000267423","HathiTrust Record")</f>
        <v/>
      </c>
      <c r="AS542">
        <f>HYPERLINK("https://creighton-primo.hosted.exlibrisgroup.com/primo-explore/search?tab=default_tab&amp;search_scope=EVERYTHING&amp;vid=01CRU&amp;lang=en_US&amp;offset=0&amp;query=any,contains,991005107809702656","Catalog Record")</f>
        <v/>
      </c>
      <c r="AT542">
        <f>HYPERLINK("http://www.worldcat.org/oclc/7364515","WorldCat Record")</f>
        <v/>
      </c>
      <c r="AU542" t="inlineStr">
        <is>
          <t>564767:eng</t>
        </is>
      </c>
      <c r="AV542" t="inlineStr">
        <is>
          <t>7364515</t>
        </is>
      </c>
      <c r="AW542" t="inlineStr">
        <is>
          <t>991005107809702656</t>
        </is>
      </c>
      <c r="AX542" t="inlineStr">
        <is>
          <t>991005107809702656</t>
        </is>
      </c>
      <c r="AY542" t="inlineStr">
        <is>
          <t>2260495080002656</t>
        </is>
      </c>
      <c r="AZ542" t="inlineStr">
        <is>
          <t>BOOK</t>
        </is>
      </c>
      <c r="BB542" t="inlineStr">
        <is>
          <t>9780936384030</t>
        </is>
      </c>
      <c r="BC542" t="inlineStr">
        <is>
          <t>32285000966464</t>
        </is>
      </c>
      <c r="BD542" t="inlineStr">
        <is>
          <t>893507622</t>
        </is>
      </c>
    </row>
    <row r="543">
      <c r="A543" t="inlineStr">
        <is>
          <t>No</t>
        </is>
      </c>
      <c r="B543" t="inlineStr">
        <is>
          <t>BV4501.2 .B248 1996</t>
        </is>
      </c>
      <c r="C543" t="inlineStr">
        <is>
          <t>0                      BV 4501200B  248         1996</t>
        </is>
      </c>
      <c r="D543" t="inlineStr">
        <is>
          <t>Spirituality in transition / James J. Bacik.</t>
        </is>
      </c>
      <c r="F543" t="inlineStr">
        <is>
          <t>No</t>
        </is>
      </c>
      <c r="G543" t="inlineStr">
        <is>
          <t>1</t>
        </is>
      </c>
      <c r="H543" t="inlineStr">
        <is>
          <t>No</t>
        </is>
      </c>
      <c r="I543" t="inlineStr">
        <is>
          <t>No</t>
        </is>
      </c>
      <c r="J543" t="inlineStr">
        <is>
          <t>0</t>
        </is>
      </c>
      <c r="K543" t="inlineStr">
        <is>
          <t>Bacik, James J., 1936-</t>
        </is>
      </c>
      <c r="L543" t="inlineStr">
        <is>
          <t>Kansas City : Sheed &amp; Ward, c1996.</t>
        </is>
      </c>
      <c r="M543" t="inlineStr">
        <is>
          <t>1996</t>
        </is>
      </c>
      <c r="O543" t="inlineStr">
        <is>
          <t>eng</t>
        </is>
      </c>
      <c r="P543" t="inlineStr">
        <is>
          <t>mou</t>
        </is>
      </c>
      <c r="R543" t="inlineStr">
        <is>
          <t xml:space="preserve">BV </t>
        </is>
      </c>
      <c r="S543" t="n">
        <v>1</v>
      </c>
      <c r="T543" t="n">
        <v>1</v>
      </c>
      <c r="U543" t="inlineStr">
        <is>
          <t>2000-06-24</t>
        </is>
      </c>
      <c r="V543" t="inlineStr">
        <is>
          <t>2000-06-24</t>
        </is>
      </c>
      <c r="W543" t="inlineStr">
        <is>
          <t>1997-01-28</t>
        </is>
      </c>
      <c r="X543" t="inlineStr">
        <is>
          <t>1997-01-28</t>
        </is>
      </c>
      <c r="Y543" t="n">
        <v>107</v>
      </c>
      <c r="Z543" t="n">
        <v>92</v>
      </c>
      <c r="AA543" t="n">
        <v>97</v>
      </c>
      <c r="AB543" t="n">
        <v>1</v>
      </c>
      <c r="AC543" t="n">
        <v>1</v>
      </c>
      <c r="AD543" t="n">
        <v>12</v>
      </c>
      <c r="AE543" t="n">
        <v>12</v>
      </c>
      <c r="AF543" t="n">
        <v>3</v>
      </c>
      <c r="AG543" t="n">
        <v>3</v>
      </c>
      <c r="AH543" t="n">
        <v>3</v>
      </c>
      <c r="AI543" t="n">
        <v>3</v>
      </c>
      <c r="AJ543" t="n">
        <v>11</v>
      </c>
      <c r="AK543" t="n">
        <v>11</v>
      </c>
      <c r="AL543" t="n">
        <v>0</v>
      </c>
      <c r="AM543" t="n">
        <v>0</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HYPERLINK("https://creighton-primo.hosted.exlibrisgroup.com/primo-explore/search?tab=default_tab&amp;search_scope=EVERYTHING&amp;vid=01CRU&amp;lang=en_US&amp;offset=0&amp;query=any,contains,991002641429702656","Catalog Record")</f>
        <v/>
      </c>
      <c r="AT543">
        <f>HYPERLINK("http://www.worldcat.org/oclc/34576859","WorldCat Record")</f>
        <v/>
      </c>
      <c r="AU543" t="inlineStr">
        <is>
          <t>2278983570:eng</t>
        </is>
      </c>
      <c r="AV543" t="inlineStr">
        <is>
          <t>34576859</t>
        </is>
      </c>
      <c r="AW543" t="inlineStr">
        <is>
          <t>991002641429702656</t>
        </is>
      </c>
      <c r="AX543" t="inlineStr">
        <is>
          <t>991002641429702656</t>
        </is>
      </c>
      <c r="AY543" t="inlineStr">
        <is>
          <t>2271710670002656</t>
        </is>
      </c>
      <c r="AZ543" t="inlineStr">
        <is>
          <t>BOOK</t>
        </is>
      </c>
      <c r="BB543" t="inlineStr">
        <is>
          <t>9781556128578</t>
        </is>
      </c>
      <c r="BC543" t="inlineStr">
        <is>
          <t>32285002412244</t>
        </is>
      </c>
      <c r="BD543" t="inlineStr">
        <is>
          <t>893798818</t>
        </is>
      </c>
    </row>
    <row r="544">
      <c r="A544" t="inlineStr">
        <is>
          <t>No</t>
        </is>
      </c>
      <c r="B544" t="inlineStr">
        <is>
          <t>BV4501.2 .B56 1968</t>
        </is>
      </c>
      <c r="C544" t="inlineStr">
        <is>
          <t>0                      BV 4501200B  56          1968</t>
        </is>
      </c>
      <c r="D544" t="inlineStr">
        <is>
          <t>The crisis of piety : essays towards a theology of the Christian life / by Donald G. Bloesch.</t>
        </is>
      </c>
      <c r="F544" t="inlineStr">
        <is>
          <t>No</t>
        </is>
      </c>
      <c r="G544" t="inlineStr">
        <is>
          <t>1</t>
        </is>
      </c>
      <c r="H544" t="inlineStr">
        <is>
          <t>No</t>
        </is>
      </c>
      <c r="I544" t="inlineStr">
        <is>
          <t>No</t>
        </is>
      </c>
      <c r="J544" t="inlineStr">
        <is>
          <t>0</t>
        </is>
      </c>
      <c r="K544" t="inlineStr">
        <is>
          <t>Bloesch, Donald G., 1928-2010.</t>
        </is>
      </c>
      <c r="L544" t="inlineStr">
        <is>
          <t>Grand Rapids : W.B. Eerdmans Pub. Co., c1968.</t>
        </is>
      </c>
      <c r="M544" t="inlineStr">
        <is>
          <t>1968</t>
        </is>
      </c>
      <c r="O544" t="inlineStr">
        <is>
          <t>eng</t>
        </is>
      </c>
      <c r="P544" t="inlineStr">
        <is>
          <t>miu</t>
        </is>
      </c>
      <c r="R544" t="inlineStr">
        <is>
          <t xml:space="preserve">BV </t>
        </is>
      </c>
      <c r="S544" t="n">
        <v>1</v>
      </c>
      <c r="T544" t="n">
        <v>1</v>
      </c>
      <c r="U544" t="inlineStr">
        <is>
          <t>2008-08-28</t>
        </is>
      </c>
      <c r="V544" t="inlineStr">
        <is>
          <t>2008-08-28</t>
        </is>
      </c>
      <c r="W544" t="inlineStr">
        <is>
          <t>2008-08-28</t>
        </is>
      </c>
      <c r="X544" t="inlineStr">
        <is>
          <t>2008-08-28</t>
        </is>
      </c>
      <c r="Y544" t="n">
        <v>232</v>
      </c>
      <c r="Z544" t="n">
        <v>204</v>
      </c>
      <c r="AA544" t="n">
        <v>282</v>
      </c>
      <c r="AB544" t="n">
        <v>1</v>
      </c>
      <c r="AC544" t="n">
        <v>2</v>
      </c>
      <c r="AD544" t="n">
        <v>13</v>
      </c>
      <c r="AE544" t="n">
        <v>16</v>
      </c>
      <c r="AF544" t="n">
        <v>5</v>
      </c>
      <c r="AG544" t="n">
        <v>6</v>
      </c>
      <c r="AH544" t="n">
        <v>3</v>
      </c>
      <c r="AI544" t="n">
        <v>3</v>
      </c>
      <c r="AJ544" t="n">
        <v>6</v>
      </c>
      <c r="AK544" t="n">
        <v>7</v>
      </c>
      <c r="AL544" t="n">
        <v>0</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HYPERLINK("https://creighton-primo.hosted.exlibrisgroup.com/primo-explore/search?tab=default_tab&amp;search_scope=EVERYTHING&amp;vid=01CRU&amp;lang=en_US&amp;offset=0&amp;query=any,contains,991005261209702656","Catalog Record")</f>
        <v/>
      </c>
      <c r="AT544">
        <f>HYPERLINK("http://www.worldcat.org/oclc/439360","WorldCat Record")</f>
        <v/>
      </c>
      <c r="AU544" t="inlineStr">
        <is>
          <t>769400053:eng</t>
        </is>
      </c>
      <c r="AV544" t="inlineStr">
        <is>
          <t>439360</t>
        </is>
      </c>
      <c r="AW544" t="inlineStr">
        <is>
          <t>991005261209702656</t>
        </is>
      </c>
      <c r="AX544" t="inlineStr">
        <is>
          <t>991005261209702656</t>
        </is>
      </c>
      <c r="AY544" t="inlineStr">
        <is>
          <t>2266558190002656</t>
        </is>
      </c>
      <c r="AZ544" t="inlineStr">
        <is>
          <t>BOOK</t>
        </is>
      </c>
      <c r="BC544" t="inlineStr">
        <is>
          <t>32285005456628</t>
        </is>
      </c>
      <c r="BD544" t="inlineStr">
        <is>
          <t>893514349</t>
        </is>
      </c>
    </row>
    <row r="545">
      <c r="A545" t="inlineStr">
        <is>
          <t>No</t>
        </is>
      </c>
      <c r="B545" t="inlineStr">
        <is>
          <t>BV4501.2 .B7668 1988</t>
        </is>
      </c>
      <c r="C545" t="inlineStr">
        <is>
          <t>0                      BV 4501200B  7668        1988</t>
        </is>
      </c>
      <c r="D545" t="inlineStr">
        <is>
          <t>Spirituality and liberation : overcoming the great fallacy / Robert McAfee Brown.</t>
        </is>
      </c>
      <c r="F545" t="inlineStr">
        <is>
          <t>No</t>
        </is>
      </c>
      <c r="G545" t="inlineStr">
        <is>
          <t>1</t>
        </is>
      </c>
      <c r="H545" t="inlineStr">
        <is>
          <t>No</t>
        </is>
      </c>
      <c r="I545" t="inlineStr">
        <is>
          <t>No</t>
        </is>
      </c>
      <c r="J545" t="inlineStr">
        <is>
          <t>0</t>
        </is>
      </c>
      <c r="K545" t="inlineStr">
        <is>
          <t>Brown, Robert McAfee, 1920-2001.</t>
        </is>
      </c>
      <c r="L545" t="inlineStr">
        <is>
          <t>Philadelphia : Westminster Press, c1988.</t>
        </is>
      </c>
      <c r="M545" t="inlineStr">
        <is>
          <t>1988</t>
        </is>
      </c>
      <c r="N545" t="inlineStr">
        <is>
          <t>1st ed.</t>
        </is>
      </c>
      <c r="O545" t="inlineStr">
        <is>
          <t>eng</t>
        </is>
      </c>
      <c r="P545" t="inlineStr">
        <is>
          <t>pau</t>
        </is>
      </c>
      <c r="R545" t="inlineStr">
        <is>
          <t xml:space="preserve">BV </t>
        </is>
      </c>
      <c r="S545" t="n">
        <v>6</v>
      </c>
      <c r="T545" t="n">
        <v>6</v>
      </c>
      <c r="U545" t="inlineStr">
        <is>
          <t>2002-03-20</t>
        </is>
      </c>
      <c r="V545" t="inlineStr">
        <is>
          <t>2002-03-20</t>
        </is>
      </c>
      <c r="W545" t="inlineStr">
        <is>
          <t>1991-12-05</t>
        </is>
      </c>
      <c r="X545" t="inlineStr">
        <is>
          <t>1991-12-05</t>
        </is>
      </c>
      <c r="Y545" t="n">
        <v>488</v>
      </c>
      <c r="Z545" t="n">
        <v>418</v>
      </c>
      <c r="AA545" t="n">
        <v>424</v>
      </c>
      <c r="AB545" t="n">
        <v>3</v>
      </c>
      <c r="AC545" t="n">
        <v>3</v>
      </c>
      <c r="AD545" t="n">
        <v>24</v>
      </c>
      <c r="AE545" t="n">
        <v>24</v>
      </c>
      <c r="AF545" t="n">
        <v>10</v>
      </c>
      <c r="AG545" t="n">
        <v>10</v>
      </c>
      <c r="AH545" t="n">
        <v>3</v>
      </c>
      <c r="AI545" t="n">
        <v>3</v>
      </c>
      <c r="AJ545" t="n">
        <v>14</v>
      </c>
      <c r="AK545" t="n">
        <v>14</v>
      </c>
      <c r="AL545" t="n">
        <v>2</v>
      </c>
      <c r="AM545" t="n">
        <v>2</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HYPERLINK("https://creighton-primo.hosted.exlibrisgroup.com/primo-explore/search?tab=default_tab&amp;search_scope=EVERYTHING&amp;vid=01CRU&amp;lang=en_US&amp;offset=0&amp;query=any,contains,991001166719702656","Catalog Record")</f>
        <v/>
      </c>
      <c r="AT545">
        <f>HYPERLINK("http://www.worldcat.org/oclc/16924174","WorldCat Record")</f>
        <v/>
      </c>
      <c r="AU545" t="inlineStr">
        <is>
          <t>232882988:eng</t>
        </is>
      </c>
      <c r="AV545" t="inlineStr">
        <is>
          <t>16924174</t>
        </is>
      </c>
      <c r="AW545" t="inlineStr">
        <is>
          <t>991001166719702656</t>
        </is>
      </c>
      <c r="AX545" t="inlineStr">
        <is>
          <t>991001166719702656</t>
        </is>
      </c>
      <c r="AY545" t="inlineStr">
        <is>
          <t>2271259000002656</t>
        </is>
      </c>
      <c r="AZ545" t="inlineStr">
        <is>
          <t>BOOK</t>
        </is>
      </c>
      <c r="BB545" t="inlineStr">
        <is>
          <t>9780664250027</t>
        </is>
      </c>
      <c r="BC545" t="inlineStr">
        <is>
          <t>32285000654664</t>
        </is>
      </c>
      <c r="BD545" t="inlineStr">
        <is>
          <t>893866017</t>
        </is>
      </c>
    </row>
    <row r="546">
      <c r="A546" t="inlineStr">
        <is>
          <t>No</t>
        </is>
      </c>
      <c r="B546" t="inlineStr">
        <is>
          <t>BV4501.2 .C37 1988</t>
        </is>
      </c>
      <c r="C546" t="inlineStr">
        <is>
          <t>0                      BV 4501200C  37          1988</t>
        </is>
      </c>
      <c r="D546" t="inlineStr">
        <is>
          <t>Sharing the darkness : the spirituality of caring / Sheila Cassidy ; foreword by Jean Vanier.</t>
        </is>
      </c>
      <c r="F546" t="inlineStr">
        <is>
          <t>No</t>
        </is>
      </c>
      <c r="G546" t="inlineStr">
        <is>
          <t>1</t>
        </is>
      </c>
      <c r="H546" t="inlineStr">
        <is>
          <t>No</t>
        </is>
      </c>
      <c r="I546" t="inlineStr">
        <is>
          <t>No</t>
        </is>
      </c>
      <c r="J546" t="inlineStr">
        <is>
          <t>0</t>
        </is>
      </c>
      <c r="K546" t="inlineStr">
        <is>
          <t>Cassidy, Sheila.</t>
        </is>
      </c>
      <c r="L546" t="inlineStr">
        <is>
          <t>London : Darton, Longman and Todd, 1988.</t>
        </is>
      </c>
      <c r="M546" t="inlineStr">
        <is>
          <t>1988</t>
        </is>
      </c>
      <c r="O546" t="inlineStr">
        <is>
          <t>eng</t>
        </is>
      </c>
      <c r="P546" t="inlineStr">
        <is>
          <t>enk</t>
        </is>
      </c>
      <c r="R546" t="inlineStr">
        <is>
          <t xml:space="preserve">BV </t>
        </is>
      </c>
      <c r="S546" t="n">
        <v>4</v>
      </c>
      <c r="T546" t="n">
        <v>4</v>
      </c>
      <c r="U546" t="inlineStr">
        <is>
          <t>1995-07-10</t>
        </is>
      </c>
      <c r="V546" t="inlineStr">
        <is>
          <t>1995-07-10</t>
        </is>
      </c>
      <c r="W546" t="inlineStr">
        <is>
          <t>1992-02-26</t>
        </is>
      </c>
      <c r="X546" t="inlineStr">
        <is>
          <t>1992-02-26</t>
        </is>
      </c>
      <c r="Y546" t="n">
        <v>126</v>
      </c>
      <c r="Z546" t="n">
        <v>15</v>
      </c>
      <c r="AA546" t="n">
        <v>221</v>
      </c>
      <c r="AB546" t="n">
        <v>1</v>
      </c>
      <c r="AC546" t="n">
        <v>2</v>
      </c>
      <c r="AD546" t="n">
        <v>2</v>
      </c>
      <c r="AE546" t="n">
        <v>11</v>
      </c>
      <c r="AF546" t="n">
        <v>1</v>
      </c>
      <c r="AG546" t="n">
        <v>2</v>
      </c>
      <c r="AH546" t="n">
        <v>0</v>
      </c>
      <c r="AI546" t="n">
        <v>2</v>
      </c>
      <c r="AJ546" t="n">
        <v>2</v>
      </c>
      <c r="AK546" t="n">
        <v>7</v>
      </c>
      <c r="AL546" t="n">
        <v>0</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HYPERLINK("https://creighton-primo.hosted.exlibrisgroup.com/primo-explore/search?tab=default_tab&amp;search_scope=EVERYTHING&amp;vid=01CRU&amp;lang=en_US&amp;offset=0&amp;query=any,contains,991001377349702656","Catalog Record")</f>
        <v/>
      </c>
      <c r="AT546">
        <f>HYPERLINK("http://www.worldcat.org/oclc/18626699","WorldCat Record")</f>
        <v/>
      </c>
      <c r="AU546" t="inlineStr">
        <is>
          <t>26450605:eng</t>
        </is>
      </c>
      <c r="AV546" t="inlineStr">
        <is>
          <t>18626699</t>
        </is>
      </c>
      <c r="AW546" t="inlineStr">
        <is>
          <t>991001377349702656</t>
        </is>
      </c>
      <c r="AX546" t="inlineStr">
        <is>
          <t>991001377349702656</t>
        </is>
      </c>
      <c r="AY546" t="inlineStr">
        <is>
          <t>2266860870002656</t>
        </is>
      </c>
      <c r="AZ546" t="inlineStr">
        <is>
          <t>BOOK</t>
        </is>
      </c>
      <c r="BB546" t="inlineStr">
        <is>
          <t>9780232517903</t>
        </is>
      </c>
      <c r="BC546" t="inlineStr">
        <is>
          <t>32285000966480</t>
        </is>
      </c>
      <c r="BD546" t="inlineStr">
        <is>
          <t>893608807</t>
        </is>
      </c>
    </row>
    <row r="547">
      <c r="A547" t="inlineStr">
        <is>
          <t>No</t>
        </is>
      </c>
      <c r="B547" t="inlineStr">
        <is>
          <t>BV4501.2 .C563 1987</t>
        </is>
      </c>
      <c r="C547" t="inlineStr">
        <is>
          <t>0                      BV 4501200C  563         1987</t>
        </is>
      </c>
      <c r="D547" t="inlineStr">
        <is>
          <t>Discovering the depths / William P. Clemmons.</t>
        </is>
      </c>
      <c r="F547" t="inlineStr">
        <is>
          <t>No</t>
        </is>
      </c>
      <c r="G547" t="inlineStr">
        <is>
          <t>1</t>
        </is>
      </c>
      <c r="H547" t="inlineStr">
        <is>
          <t>No</t>
        </is>
      </c>
      <c r="I547" t="inlineStr">
        <is>
          <t>No</t>
        </is>
      </c>
      <c r="J547" t="inlineStr">
        <is>
          <t>0</t>
        </is>
      </c>
      <c r="K547" t="inlineStr">
        <is>
          <t>Clemmons, William P., 1932-</t>
        </is>
      </c>
      <c r="L547" t="inlineStr">
        <is>
          <t>Nashville, Tenn. : Broadman Press, 1987.</t>
        </is>
      </c>
      <c r="M547" t="inlineStr">
        <is>
          <t>1987</t>
        </is>
      </c>
      <c r="N547" t="inlineStr">
        <is>
          <t>Rev. ed.</t>
        </is>
      </c>
      <c r="O547" t="inlineStr">
        <is>
          <t>eng</t>
        </is>
      </c>
      <c r="P547" t="inlineStr">
        <is>
          <t>tnu</t>
        </is>
      </c>
      <c r="R547" t="inlineStr">
        <is>
          <t xml:space="preserve">BV </t>
        </is>
      </c>
      <c r="S547" t="n">
        <v>1</v>
      </c>
      <c r="T547" t="n">
        <v>1</v>
      </c>
      <c r="U547" t="inlineStr">
        <is>
          <t>1992-07-07</t>
        </is>
      </c>
      <c r="V547" t="inlineStr">
        <is>
          <t>1992-07-07</t>
        </is>
      </c>
      <c r="W547" t="inlineStr">
        <is>
          <t>1992-02-26</t>
        </is>
      </c>
      <c r="X547" t="inlineStr">
        <is>
          <t>1992-02-26</t>
        </is>
      </c>
      <c r="Y547" t="n">
        <v>113</v>
      </c>
      <c r="Z547" t="n">
        <v>98</v>
      </c>
      <c r="AA547" t="n">
        <v>134</v>
      </c>
      <c r="AB547" t="n">
        <v>1</v>
      </c>
      <c r="AC547" t="n">
        <v>2</v>
      </c>
      <c r="AD547" t="n">
        <v>6</v>
      </c>
      <c r="AE547" t="n">
        <v>6</v>
      </c>
      <c r="AF547" t="n">
        <v>1</v>
      </c>
      <c r="AG547" t="n">
        <v>1</v>
      </c>
      <c r="AH547" t="n">
        <v>0</v>
      </c>
      <c r="AI547" t="n">
        <v>0</v>
      </c>
      <c r="AJ547" t="n">
        <v>5</v>
      </c>
      <c r="AK547" t="n">
        <v>5</v>
      </c>
      <c r="AL547" t="n">
        <v>0</v>
      </c>
      <c r="AM547" t="n">
        <v>0</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HYPERLINK("https://creighton-primo.hosted.exlibrisgroup.com/primo-explore/search?tab=default_tab&amp;search_scope=EVERYTHING&amp;vid=01CRU&amp;lang=en_US&amp;offset=0&amp;query=any,contains,991001002539702656","Catalog Record")</f>
        <v/>
      </c>
      <c r="AT547">
        <f>HYPERLINK("http://www.worldcat.org/oclc/15220989","WorldCat Record")</f>
        <v/>
      </c>
      <c r="AU547" t="inlineStr">
        <is>
          <t>461124:eng</t>
        </is>
      </c>
      <c r="AV547" t="inlineStr">
        <is>
          <t>15220989</t>
        </is>
      </c>
      <c r="AW547" t="inlineStr">
        <is>
          <t>991001002539702656</t>
        </is>
      </c>
      <c r="AX547" t="inlineStr">
        <is>
          <t>991001002539702656</t>
        </is>
      </c>
      <c r="AY547" t="inlineStr">
        <is>
          <t>2262722830002656</t>
        </is>
      </c>
      <c r="AZ547" t="inlineStr">
        <is>
          <t>BOOK</t>
        </is>
      </c>
      <c r="BB547" t="inlineStr">
        <is>
          <t>9780805455625</t>
        </is>
      </c>
      <c r="BC547" t="inlineStr">
        <is>
          <t>32285000966498</t>
        </is>
      </c>
      <c r="BD547" t="inlineStr">
        <is>
          <t>893608455</t>
        </is>
      </c>
    </row>
    <row r="548">
      <c r="A548" t="inlineStr">
        <is>
          <t>No</t>
        </is>
      </c>
      <c r="B548" t="inlineStr">
        <is>
          <t>BV4501.2 .C85</t>
        </is>
      </c>
      <c r="C548" t="inlineStr">
        <is>
          <t>0                      BV 4501200C  85</t>
        </is>
      </c>
      <c r="D548" t="inlineStr">
        <is>
          <t>Spirituality and the desert experience / Charles Cummings. --</t>
        </is>
      </c>
      <c r="F548" t="inlineStr">
        <is>
          <t>No</t>
        </is>
      </c>
      <c r="G548" t="inlineStr">
        <is>
          <t>1</t>
        </is>
      </c>
      <c r="H548" t="inlineStr">
        <is>
          <t>No</t>
        </is>
      </c>
      <c r="I548" t="inlineStr">
        <is>
          <t>No</t>
        </is>
      </c>
      <c r="J548" t="inlineStr">
        <is>
          <t>0</t>
        </is>
      </c>
      <c r="K548" t="inlineStr">
        <is>
          <t>Cummings, Charles.</t>
        </is>
      </c>
      <c r="L548" t="inlineStr">
        <is>
          <t>Denville, New Jersey : Dimension, [c1978]</t>
        </is>
      </c>
      <c r="M548" t="inlineStr">
        <is>
          <t>1978</t>
        </is>
      </c>
      <c r="O548" t="inlineStr">
        <is>
          <t>eng</t>
        </is>
      </c>
      <c r="P548" t="inlineStr">
        <is>
          <t>nju</t>
        </is>
      </c>
      <c r="Q548" t="inlineStr">
        <is>
          <t>Studies in formative spirituality ; v. 2</t>
        </is>
      </c>
      <c r="R548" t="inlineStr">
        <is>
          <t xml:space="preserve">BV </t>
        </is>
      </c>
      <c r="S548" t="n">
        <v>2</v>
      </c>
      <c r="T548" t="n">
        <v>2</v>
      </c>
      <c r="U548" t="inlineStr">
        <is>
          <t>2000-07-26</t>
        </is>
      </c>
      <c r="V548" t="inlineStr">
        <is>
          <t>2000-07-26</t>
        </is>
      </c>
      <c r="W548" t="inlineStr">
        <is>
          <t>1990-04-30</t>
        </is>
      </c>
      <c r="X548" t="inlineStr">
        <is>
          <t>1990-04-30</t>
        </is>
      </c>
      <c r="Y548" t="n">
        <v>149</v>
      </c>
      <c r="Z548" t="n">
        <v>125</v>
      </c>
      <c r="AA548" t="n">
        <v>147</v>
      </c>
      <c r="AB548" t="n">
        <v>2</v>
      </c>
      <c r="AC548" t="n">
        <v>2</v>
      </c>
      <c r="AD548" t="n">
        <v>11</v>
      </c>
      <c r="AE548" t="n">
        <v>11</v>
      </c>
      <c r="AF548" t="n">
        <v>1</v>
      </c>
      <c r="AG548" t="n">
        <v>1</v>
      </c>
      <c r="AH548" t="n">
        <v>1</v>
      </c>
      <c r="AI548" t="n">
        <v>1</v>
      </c>
      <c r="AJ548" t="n">
        <v>11</v>
      </c>
      <c r="AK548" t="n">
        <v>11</v>
      </c>
      <c r="AL548" t="n">
        <v>0</v>
      </c>
      <c r="AM548" t="n">
        <v>0</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HYPERLINK("https://creighton-primo.hosted.exlibrisgroup.com/primo-explore/search?tab=default_tab&amp;search_scope=EVERYTHING&amp;vid=01CRU&amp;lang=en_US&amp;offset=0&amp;query=any,contains,991004640209702656","Catalog Record")</f>
        <v/>
      </c>
      <c r="AT548">
        <f>HYPERLINK("http://www.worldcat.org/oclc/4453364","WorldCat Record")</f>
        <v/>
      </c>
      <c r="AU548" t="inlineStr">
        <is>
          <t>774049568:eng</t>
        </is>
      </c>
      <c r="AV548" t="inlineStr">
        <is>
          <t>4453364</t>
        </is>
      </c>
      <c r="AW548" t="inlineStr">
        <is>
          <t>991004640209702656</t>
        </is>
      </c>
      <c r="AX548" t="inlineStr">
        <is>
          <t>991004640209702656</t>
        </is>
      </c>
      <c r="AY548" t="inlineStr">
        <is>
          <t>2256679970002656</t>
        </is>
      </c>
      <c r="AZ548" t="inlineStr">
        <is>
          <t>BOOK</t>
        </is>
      </c>
      <c r="BB548" t="inlineStr">
        <is>
          <t>9780871930675</t>
        </is>
      </c>
      <c r="BC548" t="inlineStr">
        <is>
          <t>32285000128214</t>
        </is>
      </c>
      <c r="BD548" t="inlineStr">
        <is>
          <t>893411790</t>
        </is>
      </c>
    </row>
    <row r="549">
      <c r="A549" t="inlineStr">
        <is>
          <t>No</t>
        </is>
      </c>
      <c r="B549" t="inlineStr">
        <is>
          <t>BV4501.2 .C851 1984</t>
        </is>
      </c>
      <c r="C549" t="inlineStr">
        <is>
          <t>0                      BV 4501200C  851         1984</t>
        </is>
      </c>
      <c r="D549" t="inlineStr">
        <is>
          <t>Education for spiritual growth / Iris V. Cully.</t>
        </is>
      </c>
      <c r="F549" t="inlineStr">
        <is>
          <t>No</t>
        </is>
      </c>
      <c r="G549" t="inlineStr">
        <is>
          <t>1</t>
        </is>
      </c>
      <c r="H549" t="inlineStr">
        <is>
          <t>No</t>
        </is>
      </c>
      <c r="I549" t="inlineStr">
        <is>
          <t>No</t>
        </is>
      </c>
      <c r="J549" t="inlineStr">
        <is>
          <t>0</t>
        </is>
      </c>
      <c r="K549" t="inlineStr">
        <is>
          <t>Cully, Iris V.</t>
        </is>
      </c>
      <c r="L549" t="inlineStr">
        <is>
          <t>San Francisco : Harper &amp; Row, c1984.</t>
        </is>
      </c>
      <c r="M549" t="inlineStr">
        <is>
          <t>1984</t>
        </is>
      </c>
      <c r="N549" t="inlineStr">
        <is>
          <t>1st ed.</t>
        </is>
      </c>
      <c r="O549" t="inlineStr">
        <is>
          <t>eng</t>
        </is>
      </c>
      <c r="P549" t="inlineStr">
        <is>
          <t>cau</t>
        </is>
      </c>
      <c r="R549" t="inlineStr">
        <is>
          <t xml:space="preserve">BV </t>
        </is>
      </c>
      <c r="S549" t="n">
        <v>4</v>
      </c>
      <c r="T549" t="n">
        <v>4</v>
      </c>
      <c r="U549" t="inlineStr">
        <is>
          <t>2005-04-18</t>
        </is>
      </c>
      <c r="V549" t="inlineStr">
        <is>
          <t>2005-04-18</t>
        </is>
      </c>
      <c r="W549" t="inlineStr">
        <is>
          <t>1992-02-26</t>
        </is>
      </c>
      <c r="X549" t="inlineStr">
        <is>
          <t>1992-02-26</t>
        </is>
      </c>
      <c r="Y549" t="n">
        <v>370</v>
      </c>
      <c r="Z549" t="n">
        <v>328</v>
      </c>
      <c r="AA549" t="n">
        <v>328</v>
      </c>
      <c r="AB549" t="n">
        <v>2</v>
      </c>
      <c r="AC549" t="n">
        <v>2</v>
      </c>
      <c r="AD549" t="n">
        <v>15</v>
      </c>
      <c r="AE549" t="n">
        <v>15</v>
      </c>
      <c r="AF549" t="n">
        <v>6</v>
      </c>
      <c r="AG549" t="n">
        <v>6</v>
      </c>
      <c r="AH549" t="n">
        <v>3</v>
      </c>
      <c r="AI549" t="n">
        <v>3</v>
      </c>
      <c r="AJ549" t="n">
        <v>10</v>
      </c>
      <c r="AK549" t="n">
        <v>10</v>
      </c>
      <c r="AL549" t="n">
        <v>0</v>
      </c>
      <c r="AM549" t="n">
        <v>0</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HYPERLINK("https://creighton-primo.hosted.exlibrisgroup.com/primo-explore/search?tab=default_tab&amp;search_scope=EVERYTHING&amp;vid=01CRU&amp;lang=en_US&amp;offset=0&amp;query=any,contains,991000320639702656","Catalog Record")</f>
        <v/>
      </c>
      <c r="AT549">
        <f>HYPERLINK("http://www.worldcat.org/oclc/10146700","WorldCat Record")</f>
        <v/>
      </c>
      <c r="AU549" t="inlineStr">
        <is>
          <t>2286665862:eng</t>
        </is>
      </c>
      <c r="AV549" t="inlineStr">
        <is>
          <t>10146700</t>
        </is>
      </c>
      <c r="AW549" t="inlineStr">
        <is>
          <t>991000320639702656</t>
        </is>
      </c>
      <c r="AX549" t="inlineStr">
        <is>
          <t>991000320639702656</t>
        </is>
      </c>
      <c r="AY549" t="inlineStr">
        <is>
          <t>2255639980002656</t>
        </is>
      </c>
      <c r="AZ549" t="inlineStr">
        <is>
          <t>BOOK</t>
        </is>
      </c>
      <c r="BB549" t="inlineStr">
        <is>
          <t>9780060616557</t>
        </is>
      </c>
      <c r="BC549" t="inlineStr">
        <is>
          <t>32285000966514</t>
        </is>
      </c>
      <c r="BD549" t="inlineStr">
        <is>
          <t>893683318</t>
        </is>
      </c>
    </row>
    <row r="550">
      <c r="A550" t="inlineStr">
        <is>
          <t>No</t>
        </is>
      </c>
      <c r="B550" t="inlineStr">
        <is>
          <t>BV4501.2 .D56</t>
        </is>
      </c>
      <c r="C550" t="inlineStr">
        <is>
          <t>0                      BV 4501200D  56</t>
        </is>
      </c>
      <c r="D550" t="inlineStr">
        <is>
          <t>Dimensions of contemporary spirituality / Francis A. Eigo, editor.</t>
        </is>
      </c>
      <c r="F550" t="inlineStr">
        <is>
          <t>No</t>
        </is>
      </c>
      <c r="G550" t="inlineStr">
        <is>
          <t>1</t>
        </is>
      </c>
      <c r="H550" t="inlineStr">
        <is>
          <t>No</t>
        </is>
      </c>
      <c r="I550" t="inlineStr">
        <is>
          <t>No</t>
        </is>
      </c>
      <c r="J550" t="inlineStr">
        <is>
          <t>0</t>
        </is>
      </c>
      <c r="L550" t="inlineStr">
        <is>
          <t>Villanova, Pa. : Villanova University Press, c1982.</t>
        </is>
      </c>
      <c r="M550" t="inlineStr">
        <is>
          <t>1982</t>
        </is>
      </c>
      <c r="O550" t="inlineStr">
        <is>
          <t>eng</t>
        </is>
      </c>
      <c r="P550" t="inlineStr">
        <is>
          <t>pau</t>
        </is>
      </c>
      <c r="R550" t="inlineStr">
        <is>
          <t xml:space="preserve">BV </t>
        </is>
      </c>
      <c r="S550" t="n">
        <v>2</v>
      </c>
      <c r="T550" t="n">
        <v>2</v>
      </c>
      <c r="U550" t="inlineStr">
        <is>
          <t>1994-06-20</t>
        </is>
      </c>
      <c r="V550" t="inlineStr">
        <is>
          <t>1994-06-20</t>
        </is>
      </c>
      <c r="W550" t="inlineStr">
        <is>
          <t>1992-02-26</t>
        </is>
      </c>
      <c r="X550" t="inlineStr">
        <is>
          <t>1992-02-26</t>
        </is>
      </c>
      <c r="Y550" t="n">
        <v>167</v>
      </c>
      <c r="Z550" t="n">
        <v>153</v>
      </c>
      <c r="AA550" t="n">
        <v>158</v>
      </c>
      <c r="AB550" t="n">
        <v>1</v>
      </c>
      <c r="AC550" t="n">
        <v>1</v>
      </c>
      <c r="AD550" t="n">
        <v>20</v>
      </c>
      <c r="AE550" t="n">
        <v>20</v>
      </c>
      <c r="AF550" t="n">
        <v>6</v>
      </c>
      <c r="AG550" t="n">
        <v>6</v>
      </c>
      <c r="AH550" t="n">
        <v>6</v>
      </c>
      <c r="AI550" t="n">
        <v>6</v>
      </c>
      <c r="AJ550" t="n">
        <v>15</v>
      </c>
      <c r="AK550" t="n">
        <v>15</v>
      </c>
      <c r="AL550" t="n">
        <v>0</v>
      </c>
      <c r="AM550" t="n">
        <v>0</v>
      </c>
      <c r="AN550" t="n">
        <v>0</v>
      </c>
      <c r="AO550" t="n">
        <v>0</v>
      </c>
      <c r="AP550" t="inlineStr">
        <is>
          <t>No</t>
        </is>
      </c>
      <c r="AQ550" t="inlineStr">
        <is>
          <t>Yes</t>
        </is>
      </c>
      <c r="AR550">
        <f>HYPERLINK("http://catalog.hathitrust.org/Record/009440557","HathiTrust Record")</f>
        <v/>
      </c>
      <c r="AS550">
        <f>HYPERLINK("https://creighton-primo.hosted.exlibrisgroup.com/primo-explore/search?tab=default_tab&amp;search_scope=EVERYTHING&amp;vid=01CRU&amp;lang=en_US&amp;offset=0&amp;query=any,contains,991000040069702656","Catalog Record")</f>
        <v/>
      </c>
      <c r="AT550">
        <f>HYPERLINK("http://www.worldcat.org/oclc/8641304","WorldCat Record")</f>
        <v/>
      </c>
      <c r="AU550" t="inlineStr">
        <is>
          <t>43257566:eng</t>
        </is>
      </c>
      <c r="AV550" t="inlineStr">
        <is>
          <t>8641304</t>
        </is>
      </c>
      <c r="AW550" t="inlineStr">
        <is>
          <t>991000040069702656</t>
        </is>
      </c>
      <c r="AX550" t="inlineStr">
        <is>
          <t>991000040069702656</t>
        </is>
      </c>
      <c r="AY550" t="inlineStr">
        <is>
          <t>2271634050002656</t>
        </is>
      </c>
      <c r="AZ550" t="inlineStr">
        <is>
          <t>BOOK</t>
        </is>
      </c>
      <c r="BC550" t="inlineStr">
        <is>
          <t>32285000966548</t>
        </is>
      </c>
      <c r="BD550" t="inlineStr">
        <is>
          <t>893527737</t>
        </is>
      </c>
    </row>
    <row r="551">
      <c r="A551" t="inlineStr">
        <is>
          <t>No</t>
        </is>
      </c>
      <c r="B551" t="inlineStr">
        <is>
          <t>BV4501.2 .D596 1982</t>
        </is>
      </c>
      <c r="C551" t="inlineStr">
        <is>
          <t>0                      BV 4501200D  596         1982</t>
        </is>
      </c>
      <c r="D551" t="inlineStr">
        <is>
          <t>Molchanie : the silence of God / Catherine de Hueck Doherty.</t>
        </is>
      </c>
      <c r="F551" t="inlineStr">
        <is>
          <t>No</t>
        </is>
      </c>
      <c r="G551" t="inlineStr">
        <is>
          <t>1</t>
        </is>
      </c>
      <c r="H551" t="inlineStr">
        <is>
          <t>No</t>
        </is>
      </c>
      <c r="I551" t="inlineStr">
        <is>
          <t>No</t>
        </is>
      </c>
      <c r="J551" t="inlineStr">
        <is>
          <t>0</t>
        </is>
      </c>
      <c r="K551" t="inlineStr">
        <is>
          <t>Doherty, Catherine de Hueck, 1896-1985.</t>
        </is>
      </c>
      <c r="L551" t="inlineStr">
        <is>
          <t>New York : Crossroad, 1982.</t>
        </is>
      </c>
      <c r="M551" t="inlineStr">
        <is>
          <t>1982</t>
        </is>
      </c>
      <c r="O551" t="inlineStr">
        <is>
          <t>eng</t>
        </is>
      </c>
      <c r="P551" t="inlineStr">
        <is>
          <t>nyu</t>
        </is>
      </c>
      <c r="R551" t="inlineStr">
        <is>
          <t xml:space="preserve">BV </t>
        </is>
      </c>
      <c r="S551" t="n">
        <v>3</v>
      </c>
      <c r="T551" t="n">
        <v>3</v>
      </c>
      <c r="U551" t="inlineStr">
        <is>
          <t>2009-07-21</t>
        </is>
      </c>
      <c r="V551" t="inlineStr">
        <is>
          <t>2009-07-21</t>
        </is>
      </c>
      <c r="W551" t="inlineStr">
        <is>
          <t>1991-09-26</t>
        </is>
      </c>
      <c r="X551" t="inlineStr">
        <is>
          <t>1991-09-26</t>
        </is>
      </c>
      <c r="Y551" t="n">
        <v>178</v>
      </c>
      <c r="Z551" t="n">
        <v>153</v>
      </c>
      <c r="AA551" t="n">
        <v>163</v>
      </c>
      <c r="AB551" t="n">
        <v>1</v>
      </c>
      <c r="AC551" t="n">
        <v>2</v>
      </c>
      <c r="AD551" t="n">
        <v>12</v>
      </c>
      <c r="AE551" t="n">
        <v>13</v>
      </c>
      <c r="AF551" t="n">
        <v>2</v>
      </c>
      <c r="AG551" t="n">
        <v>2</v>
      </c>
      <c r="AH551" t="n">
        <v>6</v>
      </c>
      <c r="AI551" t="n">
        <v>7</v>
      </c>
      <c r="AJ551" t="n">
        <v>7</v>
      </c>
      <c r="AK551" t="n">
        <v>8</v>
      </c>
      <c r="AL551" t="n">
        <v>0</v>
      </c>
      <c r="AM551" t="n">
        <v>0</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HYPERLINK("https://creighton-primo.hosted.exlibrisgroup.com/primo-explore/search?tab=default_tab&amp;search_scope=EVERYTHING&amp;vid=01CRU&amp;lang=en_US&amp;offset=0&amp;query=any,contains,991005180379702656","Catalog Record")</f>
        <v/>
      </c>
      <c r="AT551">
        <f>HYPERLINK("http://www.worldcat.org/oclc/7945412","WorldCat Record")</f>
        <v/>
      </c>
      <c r="AU551" t="inlineStr">
        <is>
          <t>11758107:eng</t>
        </is>
      </c>
      <c r="AV551" t="inlineStr">
        <is>
          <t>7945412</t>
        </is>
      </c>
      <c r="AW551" t="inlineStr">
        <is>
          <t>991005180379702656</t>
        </is>
      </c>
      <c r="AX551" t="inlineStr">
        <is>
          <t>991005180379702656</t>
        </is>
      </c>
      <c r="AY551" t="inlineStr">
        <is>
          <t>2271161740002656</t>
        </is>
      </c>
      <c r="AZ551" t="inlineStr">
        <is>
          <t>BOOK</t>
        </is>
      </c>
      <c r="BB551" t="inlineStr">
        <is>
          <t>9780824504076</t>
        </is>
      </c>
      <c r="BC551" t="inlineStr">
        <is>
          <t>32285000762574</t>
        </is>
      </c>
      <c r="BD551" t="inlineStr">
        <is>
          <t>893260685</t>
        </is>
      </c>
    </row>
    <row r="552">
      <c r="A552" t="inlineStr">
        <is>
          <t>No</t>
        </is>
      </c>
      <c r="B552" t="inlineStr">
        <is>
          <t>BV4501.2 .E84 1970</t>
        </is>
      </c>
      <c r="C552" t="inlineStr">
        <is>
          <t>0                      BV 4501200E  84          1970</t>
        </is>
      </c>
      <c r="D552" t="inlineStr">
        <is>
          <t>In His presence / [by] Louis Evely. Translated by J.F. Stevenson.</t>
        </is>
      </c>
      <c r="F552" t="inlineStr">
        <is>
          <t>No</t>
        </is>
      </c>
      <c r="G552" t="inlineStr">
        <is>
          <t>1</t>
        </is>
      </c>
      <c r="H552" t="inlineStr">
        <is>
          <t>No</t>
        </is>
      </c>
      <c r="I552" t="inlineStr">
        <is>
          <t>No</t>
        </is>
      </c>
      <c r="J552" t="inlineStr">
        <is>
          <t>0</t>
        </is>
      </c>
      <c r="K552" t="inlineStr">
        <is>
          <t>Évely, Louis, 1910-1985.</t>
        </is>
      </c>
      <c r="L552" t="inlineStr">
        <is>
          <t>[New York] : Herder and Herder, [1970]</t>
        </is>
      </c>
      <c r="M552" t="inlineStr">
        <is>
          <t>1970</t>
        </is>
      </c>
      <c r="O552" t="inlineStr">
        <is>
          <t>eng</t>
        </is>
      </c>
      <c r="P552" t="inlineStr">
        <is>
          <t>___</t>
        </is>
      </c>
      <c r="R552" t="inlineStr">
        <is>
          <t xml:space="preserve">BV </t>
        </is>
      </c>
      <c r="S552" t="n">
        <v>2</v>
      </c>
      <c r="T552" t="n">
        <v>2</v>
      </c>
      <c r="U552" t="inlineStr">
        <is>
          <t>1992-03-28</t>
        </is>
      </c>
      <c r="V552" t="inlineStr">
        <is>
          <t>1992-03-28</t>
        </is>
      </c>
      <c r="W552" t="inlineStr">
        <is>
          <t>1992-02-26</t>
        </is>
      </c>
      <c r="X552" t="inlineStr">
        <is>
          <t>1992-02-26</t>
        </is>
      </c>
      <c r="Y552" t="n">
        <v>164</v>
      </c>
      <c r="Z552" t="n">
        <v>151</v>
      </c>
      <c r="AA552" t="n">
        <v>178</v>
      </c>
      <c r="AB552" t="n">
        <v>1</v>
      </c>
      <c r="AC552" t="n">
        <v>2</v>
      </c>
      <c r="AD552" t="n">
        <v>20</v>
      </c>
      <c r="AE552" t="n">
        <v>23</v>
      </c>
      <c r="AF552" t="n">
        <v>4</v>
      </c>
      <c r="AG552" t="n">
        <v>5</v>
      </c>
      <c r="AH552" t="n">
        <v>5</v>
      </c>
      <c r="AI552" t="n">
        <v>5</v>
      </c>
      <c r="AJ552" t="n">
        <v>17</v>
      </c>
      <c r="AK552" t="n">
        <v>20</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HYPERLINK("https://creighton-primo.hosted.exlibrisgroup.com/primo-explore/search?tab=default_tab&amp;search_scope=EVERYTHING&amp;vid=01CRU&amp;lang=en_US&amp;offset=0&amp;query=any,contains,991002837359702656","Catalog Record")</f>
        <v/>
      </c>
      <c r="AT552">
        <f>HYPERLINK("http://www.worldcat.org/oclc/480712","WorldCat Record")</f>
        <v/>
      </c>
      <c r="AU552" t="inlineStr">
        <is>
          <t>15369982:eng</t>
        </is>
      </c>
      <c r="AV552" t="inlineStr">
        <is>
          <t>480712</t>
        </is>
      </c>
      <c r="AW552" t="inlineStr">
        <is>
          <t>991002837359702656</t>
        </is>
      </c>
      <c r="AX552" t="inlineStr">
        <is>
          <t>991002837359702656</t>
        </is>
      </c>
      <c r="AY552" t="inlineStr">
        <is>
          <t>2268879510002656</t>
        </is>
      </c>
      <c r="AZ552" t="inlineStr">
        <is>
          <t>BOOK</t>
        </is>
      </c>
      <c r="BC552" t="inlineStr">
        <is>
          <t>32285000966563</t>
        </is>
      </c>
      <c r="BD552" t="inlineStr">
        <is>
          <t>893685843</t>
        </is>
      </c>
    </row>
    <row r="553">
      <c r="A553" t="inlineStr">
        <is>
          <t>No</t>
        </is>
      </c>
      <c r="B553" t="inlineStr">
        <is>
          <t>BV4501.2 .F47 1996</t>
        </is>
      </c>
      <c r="C553" t="inlineStr">
        <is>
          <t>0                      BV 4501200F  47          1996</t>
        </is>
      </c>
      <c r="D553" t="inlineStr">
        <is>
          <t>Wrestling with God : religious life in search of its soul / Barbara Fiand.</t>
        </is>
      </c>
      <c r="F553" t="inlineStr">
        <is>
          <t>No</t>
        </is>
      </c>
      <c r="G553" t="inlineStr">
        <is>
          <t>1</t>
        </is>
      </c>
      <c r="H553" t="inlineStr">
        <is>
          <t>No</t>
        </is>
      </c>
      <c r="I553" t="inlineStr">
        <is>
          <t>No</t>
        </is>
      </c>
      <c r="J553" t="inlineStr">
        <is>
          <t>0</t>
        </is>
      </c>
      <c r="K553" t="inlineStr">
        <is>
          <t>Fiand, Barbara.</t>
        </is>
      </c>
      <c r="L553" t="inlineStr">
        <is>
          <t>New York : Crossroad Pub. Co., 1996.</t>
        </is>
      </c>
      <c r="M553" t="inlineStr">
        <is>
          <t>1996</t>
        </is>
      </c>
      <c r="O553" t="inlineStr">
        <is>
          <t>eng</t>
        </is>
      </c>
      <c r="P553" t="inlineStr">
        <is>
          <t>nyu</t>
        </is>
      </c>
      <c r="R553" t="inlineStr">
        <is>
          <t xml:space="preserve">BV </t>
        </is>
      </c>
      <c r="S553" t="n">
        <v>8</v>
      </c>
      <c r="T553" t="n">
        <v>8</v>
      </c>
      <c r="U553" t="inlineStr">
        <is>
          <t>2000-11-19</t>
        </is>
      </c>
      <c r="V553" t="inlineStr">
        <is>
          <t>2000-11-19</t>
        </is>
      </c>
      <c r="W553" t="inlineStr">
        <is>
          <t>1997-03-04</t>
        </is>
      </c>
      <c r="X553" t="inlineStr">
        <is>
          <t>1997-03-04</t>
        </is>
      </c>
      <c r="Y553" t="n">
        <v>98</v>
      </c>
      <c r="Z553" t="n">
        <v>77</v>
      </c>
      <c r="AA553" t="n">
        <v>82</v>
      </c>
      <c r="AB553" t="n">
        <v>1</v>
      </c>
      <c r="AC553" t="n">
        <v>1</v>
      </c>
      <c r="AD553" t="n">
        <v>8</v>
      </c>
      <c r="AE553" t="n">
        <v>8</v>
      </c>
      <c r="AF553" t="n">
        <v>2</v>
      </c>
      <c r="AG553" t="n">
        <v>2</v>
      </c>
      <c r="AH553" t="n">
        <v>2</v>
      </c>
      <c r="AI553" t="n">
        <v>2</v>
      </c>
      <c r="AJ553" t="n">
        <v>6</v>
      </c>
      <c r="AK553" t="n">
        <v>6</v>
      </c>
      <c r="AL553" t="n">
        <v>0</v>
      </c>
      <c r="AM553" t="n">
        <v>0</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HYPERLINK("https://creighton-primo.hosted.exlibrisgroup.com/primo-explore/search?tab=default_tab&amp;search_scope=EVERYTHING&amp;vid=01CRU&amp;lang=en_US&amp;offset=0&amp;query=any,contains,991002662419702656","Catalog Record")</f>
        <v/>
      </c>
      <c r="AT553">
        <f>HYPERLINK("http://www.worldcat.org/oclc/34789667","WorldCat Record")</f>
        <v/>
      </c>
      <c r="AU553" t="inlineStr">
        <is>
          <t>4081695768:eng</t>
        </is>
      </c>
      <c r="AV553" t="inlineStr">
        <is>
          <t>34789667</t>
        </is>
      </c>
      <c r="AW553" t="inlineStr">
        <is>
          <t>991002662419702656</t>
        </is>
      </c>
      <c r="AX553" t="inlineStr">
        <is>
          <t>991002662419702656</t>
        </is>
      </c>
      <c r="AY553" t="inlineStr">
        <is>
          <t>2261740330002656</t>
        </is>
      </c>
      <c r="AZ553" t="inlineStr">
        <is>
          <t>BOOK</t>
        </is>
      </c>
      <c r="BB553" t="inlineStr">
        <is>
          <t>9780824516208</t>
        </is>
      </c>
      <c r="BC553" t="inlineStr">
        <is>
          <t>32285002434354</t>
        </is>
      </c>
      <c r="BD553" t="inlineStr">
        <is>
          <t>893792745</t>
        </is>
      </c>
    </row>
    <row r="554">
      <c r="A554" t="inlineStr">
        <is>
          <t>No</t>
        </is>
      </c>
      <c r="B554" t="inlineStr">
        <is>
          <t>BV4501.2 .F5898 1998</t>
        </is>
      </c>
      <c r="C554" t="inlineStr">
        <is>
          <t>0                      BV 4501200F  5898        1998</t>
        </is>
      </c>
      <c r="D554" t="inlineStr">
        <is>
          <t>The shape of living : spiritual directions for everyday life / David F. Ford.</t>
        </is>
      </c>
      <c r="F554" t="inlineStr">
        <is>
          <t>No</t>
        </is>
      </c>
      <c r="G554" t="inlineStr">
        <is>
          <t>1</t>
        </is>
      </c>
      <c r="H554" t="inlineStr">
        <is>
          <t>No</t>
        </is>
      </c>
      <c r="I554" t="inlineStr">
        <is>
          <t>No</t>
        </is>
      </c>
      <c r="J554" t="inlineStr">
        <is>
          <t>0</t>
        </is>
      </c>
      <c r="K554" t="inlineStr">
        <is>
          <t>Ford, David F., 1948-</t>
        </is>
      </c>
      <c r="L554" t="inlineStr">
        <is>
          <t>Grand Rapids, Mich. : Baker Books, 1998.</t>
        </is>
      </c>
      <c r="M554" t="inlineStr">
        <is>
          <t>1998</t>
        </is>
      </c>
      <c r="O554" t="inlineStr">
        <is>
          <t>eng</t>
        </is>
      </c>
      <c r="P554" t="inlineStr">
        <is>
          <t>miu</t>
        </is>
      </c>
      <c r="R554" t="inlineStr">
        <is>
          <t xml:space="preserve">BV </t>
        </is>
      </c>
      <c r="S554" t="n">
        <v>4</v>
      </c>
      <c r="T554" t="n">
        <v>4</v>
      </c>
      <c r="U554" t="inlineStr">
        <is>
          <t>2005-04-18</t>
        </is>
      </c>
      <c r="V554" t="inlineStr">
        <is>
          <t>2005-04-18</t>
        </is>
      </c>
      <c r="W554" t="inlineStr">
        <is>
          <t>1999-08-12</t>
        </is>
      </c>
      <c r="X554" t="inlineStr">
        <is>
          <t>1999-08-12</t>
        </is>
      </c>
      <c r="Y554" t="n">
        <v>218</v>
      </c>
      <c r="Z554" t="n">
        <v>199</v>
      </c>
      <c r="AA554" t="n">
        <v>303</v>
      </c>
      <c r="AB554" t="n">
        <v>2</v>
      </c>
      <c r="AC554" t="n">
        <v>2</v>
      </c>
      <c r="AD554" t="n">
        <v>7</v>
      </c>
      <c r="AE554" t="n">
        <v>10</v>
      </c>
      <c r="AF554" t="n">
        <v>3</v>
      </c>
      <c r="AG554" t="n">
        <v>5</v>
      </c>
      <c r="AH554" t="n">
        <v>2</v>
      </c>
      <c r="AI554" t="n">
        <v>2</v>
      </c>
      <c r="AJ554" t="n">
        <v>2</v>
      </c>
      <c r="AK554" t="n">
        <v>3</v>
      </c>
      <c r="AL554" t="n">
        <v>1</v>
      </c>
      <c r="AM554" t="n">
        <v>1</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HYPERLINK("https://creighton-primo.hosted.exlibrisgroup.com/primo-explore/search?tab=default_tab&amp;search_scope=EVERYTHING&amp;vid=01CRU&amp;lang=en_US&amp;offset=0&amp;query=any,contains,991002952759702656","Catalog Record")</f>
        <v/>
      </c>
      <c r="AT554">
        <f>HYPERLINK("http://www.worldcat.org/oclc/39354239","WorldCat Record")</f>
        <v/>
      </c>
      <c r="AU554" t="inlineStr">
        <is>
          <t>6409331:eng</t>
        </is>
      </c>
      <c r="AV554" t="inlineStr">
        <is>
          <t>39354239</t>
        </is>
      </c>
      <c r="AW554" t="inlineStr">
        <is>
          <t>991002952759702656</t>
        </is>
      </c>
      <c r="AX554" t="inlineStr">
        <is>
          <t>991002952759702656</t>
        </is>
      </c>
      <c r="AY554" t="inlineStr">
        <is>
          <t>2255380240002656</t>
        </is>
      </c>
      <c r="AZ554" t="inlineStr">
        <is>
          <t>BOOK</t>
        </is>
      </c>
      <c r="BB554" t="inlineStr">
        <is>
          <t>9780801058325</t>
        </is>
      </c>
      <c r="BC554" t="inlineStr">
        <is>
          <t>32285003581724</t>
        </is>
      </c>
      <c r="BD554" t="inlineStr">
        <is>
          <t>893774219</t>
        </is>
      </c>
    </row>
    <row r="555">
      <c r="A555" t="inlineStr">
        <is>
          <t>No</t>
        </is>
      </c>
      <c r="B555" t="inlineStr">
        <is>
          <t>BV4501.2 .G65 1990</t>
        </is>
      </c>
      <c r="C555" t="inlineStr">
        <is>
          <t>0                      BV 4501200G  65          1990</t>
        </is>
      </c>
      <c r="D555" t="inlineStr">
        <is>
          <t>An invitation to the spiritual journey / John P. Gorsuch.</t>
        </is>
      </c>
      <c r="F555" t="inlineStr">
        <is>
          <t>No</t>
        </is>
      </c>
      <c r="G555" t="inlineStr">
        <is>
          <t>1</t>
        </is>
      </c>
      <c r="H555" t="inlineStr">
        <is>
          <t>No</t>
        </is>
      </c>
      <c r="I555" t="inlineStr">
        <is>
          <t>No</t>
        </is>
      </c>
      <c r="J555" t="inlineStr">
        <is>
          <t>0</t>
        </is>
      </c>
      <c r="K555" t="inlineStr">
        <is>
          <t>Gorsuch, John P., 1932-2017.</t>
        </is>
      </c>
      <c r="L555" t="inlineStr">
        <is>
          <t>New York : Paulist Press, c1990.</t>
        </is>
      </c>
      <c r="M555" t="inlineStr">
        <is>
          <t>1990</t>
        </is>
      </c>
      <c r="O555" t="inlineStr">
        <is>
          <t>eng</t>
        </is>
      </c>
      <c r="P555" t="inlineStr">
        <is>
          <t>nyu</t>
        </is>
      </c>
      <c r="R555" t="inlineStr">
        <is>
          <t xml:space="preserve">BV </t>
        </is>
      </c>
      <c r="S555" t="n">
        <v>5</v>
      </c>
      <c r="T555" t="n">
        <v>5</v>
      </c>
      <c r="U555" t="inlineStr">
        <is>
          <t>2001-02-14</t>
        </is>
      </c>
      <c r="V555" t="inlineStr">
        <is>
          <t>2001-02-14</t>
        </is>
      </c>
      <c r="W555" t="inlineStr">
        <is>
          <t>1990-03-01</t>
        </is>
      </c>
      <c r="X555" t="inlineStr">
        <is>
          <t>1990-03-01</t>
        </is>
      </c>
      <c r="Y555" t="n">
        <v>192</v>
      </c>
      <c r="Z555" t="n">
        <v>173</v>
      </c>
      <c r="AA555" t="n">
        <v>174</v>
      </c>
      <c r="AB555" t="n">
        <v>3</v>
      </c>
      <c r="AC555" t="n">
        <v>3</v>
      </c>
      <c r="AD555" t="n">
        <v>10</v>
      </c>
      <c r="AE555" t="n">
        <v>10</v>
      </c>
      <c r="AF555" t="n">
        <v>1</v>
      </c>
      <c r="AG555" t="n">
        <v>1</v>
      </c>
      <c r="AH555" t="n">
        <v>2</v>
      </c>
      <c r="AI555" t="n">
        <v>2</v>
      </c>
      <c r="AJ555" t="n">
        <v>7</v>
      </c>
      <c r="AK555" t="n">
        <v>7</v>
      </c>
      <c r="AL555" t="n">
        <v>1</v>
      </c>
      <c r="AM555" t="n">
        <v>1</v>
      </c>
      <c r="AN555" t="n">
        <v>0</v>
      </c>
      <c r="AO555" t="n">
        <v>0</v>
      </c>
      <c r="AP555" t="inlineStr">
        <is>
          <t>No</t>
        </is>
      </c>
      <c r="AQ555" t="inlineStr">
        <is>
          <t>Yes</t>
        </is>
      </c>
      <c r="AR555">
        <f>HYPERLINK("http://catalog.hathitrust.org/Record/006019360","HathiTrust Record")</f>
        <v/>
      </c>
      <c r="AS555">
        <f>HYPERLINK("https://creighton-primo.hosted.exlibrisgroup.com/primo-explore/search?tab=default_tab&amp;search_scope=EVERYTHING&amp;vid=01CRU&amp;lang=en_US&amp;offset=0&amp;query=any,contains,991005411499702656","Catalog Record")</f>
        <v/>
      </c>
      <c r="AT555">
        <f>HYPERLINK("http://www.worldcat.org/oclc/20355259","WorldCat Record")</f>
        <v/>
      </c>
      <c r="AU555" t="inlineStr">
        <is>
          <t>2082358794:eng</t>
        </is>
      </c>
      <c r="AV555" t="inlineStr">
        <is>
          <t>20355259</t>
        </is>
      </c>
      <c r="AW555" t="inlineStr">
        <is>
          <t>991005411499702656</t>
        </is>
      </c>
      <c r="AX555" t="inlineStr">
        <is>
          <t>991005411499702656</t>
        </is>
      </c>
      <c r="AY555" t="inlineStr">
        <is>
          <t>2269408160002656</t>
        </is>
      </c>
      <c r="AZ555" t="inlineStr">
        <is>
          <t>BOOK</t>
        </is>
      </c>
      <c r="BB555" t="inlineStr">
        <is>
          <t>9780809104376</t>
        </is>
      </c>
      <c r="BC555" t="inlineStr">
        <is>
          <t>32285000021294</t>
        </is>
      </c>
      <c r="BD555" t="inlineStr">
        <is>
          <t>893601169</t>
        </is>
      </c>
    </row>
    <row r="556">
      <c r="A556" t="inlineStr">
        <is>
          <t>No</t>
        </is>
      </c>
      <c r="B556" t="inlineStr">
        <is>
          <t>BV4501.2 .G7 1959</t>
        </is>
      </c>
      <c r="C556" t="inlineStr">
        <is>
          <t>0                      BV 4501200G  7           1959</t>
        </is>
      </c>
      <c r="D556" t="inlineStr">
        <is>
          <t>The light and the rainbow : a study in Christian spirituality from its roots in the Old Testament and its development through the New Testament and the Fathers to recent times / by Hilda Graef.</t>
        </is>
      </c>
      <c r="F556" t="inlineStr">
        <is>
          <t>No</t>
        </is>
      </c>
      <c r="G556" t="inlineStr">
        <is>
          <t>1</t>
        </is>
      </c>
      <c r="H556" t="inlineStr">
        <is>
          <t>No</t>
        </is>
      </c>
      <c r="I556" t="inlineStr">
        <is>
          <t>No</t>
        </is>
      </c>
      <c r="J556" t="inlineStr">
        <is>
          <t>0</t>
        </is>
      </c>
      <c r="K556" t="inlineStr">
        <is>
          <t>Graef, Hilda C.</t>
        </is>
      </c>
      <c r="L556" t="inlineStr">
        <is>
          <t>London : Longmans ; Westminster, Md. : Newman Press, [1959]</t>
        </is>
      </c>
      <c r="M556" t="inlineStr">
        <is>
          <t>1959</t>
        </is>
      </c>
      <c r="O556" t="inlineStr">
        <is>
          <t>eng</t>
        </is>
      </c>
      <c r="P556" t="inlineStr">
        <is>
          <t>enk</t>
        </is>
      </c>
      <c r="R556" t="inlineStr">
        <is>
          <t xml:space="preserve">BV </t>
        </is>
      </c>
      <c r="S556" t="n">
        <v>1</v>
      </c>
      <c r="T556" t="n">
        <v>1</v>
      </c>
      <c r="U556" t="inlineStr">
        <is>
          <t>1992-06-15</t>
        </is>
      </c>
      <c r="V556" t="inlineStr">
        <is>
          <t>1992-06-15</t>
        </is>
      </c>
      <c r="W556" t="inlineStr">
        <is>
          <t>1992-02-26</t>
        </is>
      </c>
      <c r="X556" t="inlineStr">
        <is>
          <t>1992-02-26</t>
        </is>
      </c>
      <c r="Y556" t="n">
        <v>202</v>
      </c>
      <c r="Z556" t="n">
        <v>154</v>
      </c>
      <c r="AA556" t="n">
        <v>154</v>
      </c>
      <c r="AB556" t="n">
        <v>3</v>
      </c>
      <c r="AC556" t="n">
        <v>3</v>
      </c>
      <c r="AD556" t="n">
        <v>24</v>
      </c>
      <c r="AE556" t="n">
        <v>24</v>
      </c>
      <c r="AF556" t="n">
        <v>6</v>
      </c>
      <c r="AG556" t="n">
        <v>6</v>
      </c>
      <c r="AH556" t="n">
        <v>8</v>
      </c>
      <c r="AI556" t="n">
        <v>8</v>
      </c>
      <c r="AJ556" t="n">
        <v>20</v>
      </c>
      <c r="AK556" t="n">
        <v>20</v>
      </c>
      <c r="AL556" t="n">
        <v>0</v>
      </c>
      <c r="AM556" t="n">
        <v>0</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HYPERLINK("https://creighton-primo.hosted.exlibrisgroup.com/primo-explore/search?tab=default_tab&amp;search_scope=EVERYTHING&amp;vid=01CRU&amp;lang=en_US&amp;offset=0&amp;query=any,contains,991004095439702656","Catalog Record")</f>
        <v/>
      </c>
      <c r="AT556">
        <f>HYPERLINK("http://www.worldcat.org/oclc/2358417","WorldCat Record")</f>
        <v/>
      </c>
      <c r="AU556" t="inlineStr">
        <is>
          <t>47577443:eng</t>
        </is>
      </c>
      <c r="AV556" t="inlineStr">
        <is>
          <t>2358417</t>
        </is>
      </c>
      <c r="AW556" t="inlineStr">
        <is>
          <t>991004095439702656</t>
        </is>
      </c>
      <c r="AX556" t="inlineStr">
        <is>
          <t>991004095439702656</t>
        </is>
      </c>
      <c r="AY556" t="inlineStr">
        <is>
          <t>2261051300002656</t>
        </is>
      </c>
      <c r="AZ556" t="inlineStr">
        <is>
          <t>BOOK</t>
        </is>
      </c>
      <c r="BC556" t="inlineStr">
        <is>
          <t>32285000966605</t>
        </is>
      </c>
      <c r="BD556" t="inlineStr">
        <is>
          <t>893718457</t>
        </is>
      </c>
    </row>
    <row r="557">
      <c r="A557" t="inlineStr">
        <is>
          <t>No</t>
        </is>
      </c>
      <c r="B557" t="inlineStr">
        <is>
          <t>BV4501.2 .G7245 1988</t>
        </is>
      </c>
      <c r="C557" t="inlineStr">
        <is>
          <t>0                      BV 4501200G  7245        1988</t>
        </is>
      </c>
      <c r="D557" t="inlineStr">
        <is>
          <t>Answers to life's problems / Billy Graham.</t>
        </is>
      </c>
      <c r="F557" t="inlineStr">
        <is>
          <t>No</t>
        </is>
      </c>
      <c r="G557" t="inlineStr">
        <is>
          <t>1</t>
        </is>
      </c>
      <c r="H557" t="inlineStr">
        <is>
          <t>No</t>
        </is>
      </c>
      <c r="I557" t="inlineStr">
        <is>
          <t>No</t>
        </is>
      </c>
      <c r="J557" t="inlineStr">
        <is>
          <t>0</t>
        </is>
      </c>
      <c r="K557" t="inlineStr">
        <is>
          <t>Graham, Billy, 1918-2018.</t>
        </is>
      </c>
      <c r="L557" t="inlineStr">
        <is>
          <t>Dallas : Word Pub., c1988.</t>
        </is>
      </c>
      <c r="M557" t="inlineStr">
        <is>
          <t>1988</t>
        </is>
      </c>
      <c r="O557" t="inlineStr">
        <is>
          <t>eng</t>
        </is>
      </c>
      <c r="P557" t="inlineStr">
        <is>
          <t>txu</t>
        </is>
      </c>
      <c r="R557" t="inlineStr">
        <is>
          <t xml:space="preserve">BV </t>
        </is>
      </c>
      <c r="S557" t="n">
        <v>6</v>
      </c>
      <c r="T557" t="n">
        <v>6</v>
      </c>
      <c r="U557" t="inlineStr">
        <is>
          <t>1998-10-24</t>
        </is>
      </c>
      <c r="V557" t="inlineStr">
        <is>
          <t>1998-10-24</t>
        </is>
      </c>
      <c r="W557" t="inlineStr">
        <is>
          <t>1991-01-03</t>
        </is>
      </c>
      <c r="X557" t="inlineStr">
        <is>
          <t>1991-01-03</t>
        </is>
      </c>
      <c r="Y557" t="n">
        <v>718</v>
      </c>
      <c r="Z557" t="n">
        <v>686</v>
      </c>
      <c r="AA557" t="n">
        <v>869</v>
      </c>
      <c r="AB557" t="n">
        <v>7</v>
      </c>
      <c r="AC557" t="n">
        <v>8</v>
      </c>
      <c r="AD557" t="n">
        <v>3</v>
      </c>
      <c r="AE557" t="n">
        <v>4</v>
      </c>
      <c r="AF557" t="n">
        <v>2</v>
      </c>
      <c r="AG557" t="n">
        <v>3</v>
      </c>
      <c r="AH557" t="n">
        <v>0</v>
      </c>
      <c r="AI557" t="n">
        <v>0</v>
      </c>
      <c r="AJ557" t="n">
        <v>0</v>
      </c>
      <c r="AK557" t="n">
        <v>0</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HYPERLINK("https://creighton-primo.hosted.exlibrisgroup.com/primo-explore/search?tab=default_tab&amp;search_scope=EVERYTHING&amp;vid=01CRU&amp;lang=en_US&amp;offset=0&amp;query=any,contains,991001246969702656","Catalog Record")</f>
        <v/>
      </c>
      <c r="AT557">
        <f>HYPERLINK("http://www.worldcat.org/oclc/17650493","WorldCat Record")</f>
        <v/>
      </c>
      <c r="AU557" t="inlineStr">
        <is>
          <t>11647389:eng</t>
        </is>
      </c>
      <c r="AV557" t="inlineStr">
        <is>
          <t>17650493</t>
        </is>
      </c>
      <c r="AW557" t="inlineStr">
        <is>
          <t>991001246969702656</t>
        </is>
      </c>
      <c r="AX557" t="inlineStr">
        <is>
          <t>991001246969702656</t>
        </is>
      </c>
      <c r="AY557" t="inlineStr">
        <is>
          <t>2268425840002656</t>
        </is>
      </c>
      <c r="AZ557" t="inlineStr">
        <is>
          <t>BOOK</t>
        </is>
      </c>
      <c r="BB557" t="inlineStr">
        <is>
          <t>9780849906428</t>
        </is>
      </c>
      <c r="BC557" t="inlineStr">
        <is>
          <t>32285000297647</t>
        </is>
      </c>
      <c r="BD557" t="inlineStr">
        <is>
          <t>893791317</t>
        </is>
      </c>
    </row>
    <row r="558">
      <c r="A558" t="inlineStr">
        <is>
          <t>No</t>
        </is>
      </c>
      <c r="B558" t="inlineStr">
        <is>
          <t>BV4501.2 .G728 1983</t>
        </is>
      </c>
      <c r="C558" t="inlineStr">
        <is>
          <t>0                      BV 4501200G  728         1983</t>
        </is>
      </c>
      <c r="D558" t="inlineStr">
        <is>
          <t>From image to likeness : a Jungian path in the Gospel journey / W. Harold Grant, Magdala Thompson, Thomas E. Clarke.</t>
        </is>
      </c>
      <c r="F558" t="inlineStr">
        <is>
          <t>No</t>
        </is>
      </c>
      <c r="G558" t="inlineStr">
        <is>
          <t>1</t>
        </is>
      </c>
      <c r="H558" t="inlineStr">
        <is>
          <t>No</t>
        </is>
      </c>
      <c r="I558" t="inlineStr">
        <is>
          <t>No</t>
        </is>
      </c>
      <c r="J558" t="inlineStr">
        <is>
          <t>0</t>
        </is>
      </c>
      <c r="K558" t="inlineStr">
        <is>
          <t>Grant, W. Harold (William Harold), 1933-</t>
        </is>
      </c>
      <c r="L558" t="inlineStr">
        <is>
          <t>New York : Paulist Press, c1983.</t>
        </is>
      </c>
      <c r="M558" t="inlineStr">
        <is>
          <t>1983</t>
        </is>
      </c>
      <c r="O558" t="inlineStr">
        <is>
          <t>eng</t>
        </is>
      </c>
      <c r="P558" t="inlineStr">
        <is>
          <t>nyu</t>
        </is>
      </c>
      <c r="R558" t="inlineStr">
        <is>
          <t xml:space="preserve">BV </t>
        </is>
      </c>
      <c r="S558" t="n">
        <v>3</v>
      </c>
      <c r="T558" t="n">
        <v>3</v>
      </c>
      <c r="U558" t="inlineStr">
        <is>
          <t>1994-10-27</t>
        </is>
      </c>
      <c r="V558" t="inlineStr">
        <is>
          <t>1994-10-27</t>
        </is>
      </c>
      <c r="W558" t="inlineStr">
        <is>
          <t>1992-02-26</t>
        </is>
      </c>
      <c r="X558" t="inlineStr">
        <is>
          <t>1992-02-26</t>
        </is>
      </c>
      <c r="Y558" t="n">
        <v>420</v>
      </c>
      <c r="Z558" t="n">
        <v>342</v>
      </c>
      <c r="AA558" t="n">
        <v>347</v>
      </c>
      <c r="AB558" t="n">
        <v>4</v>
      </c>
      <c r="AC558" t="n">
        <v>4</v>
      </c>
      <c r="AD558" t="n">
        <v>30</v>
      </c>
      <c r="AE558" t="n">
        <v>30</v>
      </c>
      <c r="AF558" t="n">
        <v>7</v>
      </c>
      <c r="AG558" t="n">
        <v>7</v>
      </c>
      <c r="AH558" t="n">
        <v>8</v>
      </c>
      <c r="AI558" t="n">
        <v>8</v>
      </c>
      <c r="AJ558" t="n">
        <v>22</v>
      </c>
      <c r="AK558" t="n">
        <v>22</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HYPERLINK("https://creighton-primo.hosted.exlibrisgroup.com/primo-explore/search?tab=default_tab&amp;search_scope=EVERYTHING&amp;vid=01CRU&amp;lang=en_US&amp;offset=0&amp;query=any,contains,991000389749702656","Catalog Record")</f>
        <v/>
      </c>
      <c r="AT558">
        <f>HYPERLINK("http://www.worldcat.org/oclc/10536747","WorldCat Record")</f>
        <v/>
      </c>
      <c r="AU558" t="inlineStr">
        <is>
          <t>281171860:eng</t>
        </is>
      </c>
      <c r="AV558" t="inlineStr">
        <is>
          <t>10536747</t>
        </is>
      </c>
      <c r="AW558" t="inlineStr">
        <is>
          <t>991000389749702656</t>
        </is>
      </c>
      <c r="AX558" t="inlineStr">
        <is>
          <t>991000389749702656</t>
        </is>
      </c>
      <c r="AY558" t="inlineStr">
        <is>
          <t>2258931660002656</t>
        </is>
      </c>
      <c r="AZ558" t="inlineStr">
        <is>
          <t>BOOK</t>
        </is>
      </c>
      <c r="BB558" t="inlineStr">
        <is>
          <t>9780809125524</t>
        </is>
      </c>
      <c r="BC558" t="inlineStr">
        <is>
          <t>32285000966613</t>
        </is>
      </c>
      <c r="BD558" t="inlineStr">
        <is>
          <t>893321001</t>
        </is>
      </c>
    </row>
    <row r="559">
      <c r="A559" t="inlineStr">
        <is>
          <t>No</t>
        </is>
      </c>
      <c r="B559" t="inlineStr">
        <is>
          <t>BV4501.2 .H366 1996</t>
        </is>
      </c>
      <c r="C559" t="inlineStr">
        <is>
          <t>0                      BV 4501200H  366         1996</t>
        </is>
      </c>
      <c r="D559" t="inlineStr">
        <is>
          <t>Where resident aliens live : exercises for Christian practice / Stanley Hauerwas, William H. Willimon.</t>
        </is>
      </c>
      <c r="F559" t="inlineStr">
        <is>
          <t>No</t>
        </is>
      </c>
      <c r="G559" t="inlineStr">
        <is>
          <t>1</t>
        </is>
      </c>
      <c r="H559" t="inlineStr">
        <is>
          <t>No</t>
        </is>
      </c>
      <c r="I559" t="inlineStr">
        <is>
          <t>No</t>
        </is>
      </c>
      <c r="J559" t="inlineStr">
        <is>
          <t>0</t>
        </is>
      </c>
      <c r="K559" t="inlineStr">
        <is>
          <t>Hauerwas, Stanley, 1940-</t>
        </is>
      </c>
      <c r="L559" t="inlineStr">
        <is>
          <t>Nashville : Abingdon Press, c1996.</t>
        </is>
      </c>
      <c r="M559" t="inlineStr">
        <is>
          <t>1996</t>
        </is>
      </c>
      <c r="O559" t="inlineStr">
        <is>
          <t>eng</t>
        </is>
      </c>
      <c r="P559" t="inlineStr">
        <is>
          <t>tnu</t>
        </is>
      </c>
      <c r="R559" t="inlineStr">
        <is>
          <t xml:space="preserve">BV </t>
        </is>
      </c>
      <c r="S559" t="n">
        <v>6</v>
      </c>
      <c r="T559" t="n">
        <v>6</v>
      </c>
      <c r="U559" t="inlineStr">
        <is>
          <t>2001-10-11</t>
        </is>
      </c>
      <c r="V559" t="inlineStr">
        <is>
          <t>2001-10-11</t>
        </is>
      </c>
      <c r="W559" t="inlineStr">
        <is>
          <t>1997-12-09</t>
        </is>
      </c>
      <c r="X559" t="inlineStr">
        <is>
          <t>1997-12-09</t>
        </is>
      </c>
      <c r="Y559" t="n">
        <v>247</v>
      </c>
      <c r="Z559" t="n">
        <v>204</v>
      </c>
      <c r="AA559" t="n">
        <v>264</v>
      </c>
      <c r="AB559" t="n">
        <v>4</v>
      </c>
      <c r="AC559" t="n">
        <v>5</v>
      </c>
      <c r="AD559" t="n">
        <v>11</v>
      </c>
      <c r="AE559" t="n">
        <v>15</v>
      </c>
      <c r="AF559" t="n">
        <v>5</v>
      </c>
      <c r="AG559" t="n">
        <v>6</v>
      </c>
      <c r="AH559" t="n">
        <v>0</v>
      </c>
      <c r="AI559" t="n">
        <v>2</v>
      </c>
      <c r="AJ559" t="n">
        <v>6</v>
      </c>
      <c r="AK559" t="n">
        <v>8</v>
      </c>
      <c r="AL559" t="n">
        <v>2</v>
      </c>
      <c r="AM559" t="n">
        <v>3</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HYPERLINK("https://creighton-primo.hosted.exlibrisgroup.com/primo-explore/search?tab=default_tab&amp;search_scope=EVERYTHING&amp;vid=01CRU&amp;lang=en_US&amp;offset=0&amp;query=any,contains,991002671619702656","Catalog Record")</f>
        <v/>
      </c>
      <c r="AT559">
        <f>HYPERLINK("http://www.worldcat.org/oclc/34936860","WorldCat Record")</f>
        <v/>
      </c>
      <c r="AU559" t="inlineStr">
        <is>
          <t>906394016:eng</t>
        </is>
      </c>
      <c r="AV559" t="inlineStr">
        <is>
          <t>34936860</t>
        </is>
      </c>
      <c r="AW559" t="inlineStr">
        <is>
          <t>991002671619702656</t>
        </is>
      </c>
      <c r="AX559" t="inlineStr">
        <is>
          <t>991002671619702656</t>
        </is>
      </c>
      <c r="AY559" t="inlineStr">
        <is>
          <t>2259265340002656</t>
        </is>
      </c>
      <c r="AZ559" t="inlineStr">
        <is>
          <t>BOOK</t>
        </is>
      </c>
      <c r="BB559" t="inlineStr">
        <is>
          <t>9780687016051</t>
        </is>
      </c>
      <c r="BC559" t="inlineStr">
        <is>
          <t>32285003282059</t>
        </is>
      </c>
      <c r="BD559" t="inlineStr">
        <is>
          <t>893233255</t>
        </is>
      </c>
    </row>
    <row r="560">
      <c r="A560" t="inlineStr">
        <is>
          <t>No</t>
        </is>
      </c>
      <c r="B560" t="inlineStr">
        <is>
          <t>BV4501.2 .H369554 1987</t>
        </is>
      </c>
      <c r="C560" t="inlineStr">
        <is>
          <t>0                      BV 4501200H  369554      1987</t>
        </is>
      </c>
      <c r="D560" t="inlineStr">
        <is>
          <t>Spiritual development : an interdisciplinary study / Daniel A. Helminiak.</t>
        </is>
      </c>
      <c r="F560" t="inlineStr">
        <is>
          <t>No</t>
        </is>
      </c>
      <c r="G560" t="inlineStr">
        <is>
          <t>1</t>
        </is>
      </c>
      <c r="H560" t="inlineStr">
        <is>
          <t>No</t>
        </is>
      </c>
      <c r="I560" t="inlineStr">
        <is>
          <t>No</t>
        </is>
      </c>
      <c r="J560" t="inlineStr">
        <is>
          <t>0</t>
        </is>
      </c>
      <c r="K560" t="inlineStr">
        <is>
          <t>Helminiak, Daniel A.</t>
        </is>
      </c>
      <c r="L560" t="inlineStr">
        <is>
          <t>Chicago : Loyola University Press, c1987.</t>
        </is>
      </c>
      <c r="M560" t="inlineStr">
        <is>
          <t>1987</t>
        </is>
      </c>
      <c r="O560" t="inlineStr">
        <is>
          <t>eng</t>
        </is>
      </c>
      <c r="P560" t="inlineStr">
        <is>
          <t>ilu</t>
        </is>
      </c>
      <c r="R560" t="inlineStr">
        <is>
          <t xml:space="preserve">BV </t>
        </is>
      </c>
      <c r="S560" t="n">
        <v>7</v>
      </c>
      <c r="T560" t="n">
        <v>7</v>
      </c>
      <c r="U560" t="inlineStr">
        <is>
          <t>2006-04-28</t>
        </is>
      </c>
      <c r="V560" t="inlineStr">
        <is>
          <t>2006-04-28</t>
        </is>
      </c>
      <c r="W560" t="inlineStr">
        <is>
          <t>1992-02-26</t>
        </is>
      </c>
      <c r="X560" t="inlineStr">
        <is>
          <t>1992-02-26</t>
        </is>
      </c>
      <c r="Y560" t="n">
        <v>359</v>
      </c>
      <c r="Z560" t="n">
        <v>312</v>
      </c>
      <c r="AA560" t="n">
        <v>320</v>
      </c>
      <c r="AB560" t="n">
        <v>6</v>
      </c>
      <c r="AC560" t="n">
        <v>6</v>
      </c>
      <c r="AD560" t="n">
        <v>24</v>
      </c>
      <c r="AE560" t="n">
        <v>24</v>
      </c>
      <c r="AF560" t="n">
        <v>7</v>
      </c>
      <c r="AG560" t="n">
        <v>7</v>
      </c>
      <c r="AH560" t="n">
        <v>4</v>
      </c>
      <c r="AI560" t="n">
        <v>4</v>
      </c>
      <c r="AJ560" t="n">
        <v>16</v>
      </c>
      <c r="AK560" t="n">
        <v>16</v>
      </c>
      <c r="AL560" t="n">
        <v>4</v>
      </c>
      <c r="AM560" t="n">
        <v>4</v>
      </c>
      <c r="AN560" t="n">
        <v>0</v>
      </c>
      <c r="AO560" t="n">
        <v>0</v>
      </c>
      <c r="AP560" t="inlineStr">
        <is>
          <t>No</t>
        </is>
      </c>
      <c r="AQ560" t="inlineStr">
        <is>
          <t>Yes</t>
        </is>
      </c>
      <c r="AR560">
        <f>HYPERLINK("http://catalog.hathitrust.org/Record/000823844","HathiTrust Record")</f>
        <v/>
      </c>
      <c r="AS560">
        <f>HYPERLINK("https://creighton-primo.hosted.exlibrisgroup.com/primo-explore/search?tab=default_tab&amp;search_scope=EVERYTHING&amp;vid=01CRU&amp;lang=en_US&amp;offset=0&amp;query=any,contains,991000867059702656","Catalog Record")</f>
        <v/>
      </c>
      <c r="AT560">
        <f>HYPERLINK("http://www.worldcat.org/oclc/13760200","WorldCat Record")</f>
        <v/>
      </c>
      <c r="AU560" t="inlineStr">
        <is>
          <t>7012001:eng</t>
        </is>
      </c>
      <c r="AV560" t="inlineStr">
        <is>
          <t>13760200</t>
        </is>
      </c>
      <c r="AW560" t="inlineStr">
        <is>
          <t>991000867059702656</t>
        </is>
      </c>
      <c r="AX560" t="inlineStr">
        <is>
          <t>991000867059702656</t>
        </is>
      </c>
      <c r="AY560" t="inlineStr">
        <is>
          <t>2266386270002656</t>
        </is>
      </c>
      <c r="AZ560" t="inlineStr">
        <is>
          <t>BOOK</t>
        </is>
      </c>
      <c r="BB560" t="inlineStr">
        <is>
          <t>9780829405309</t>
        </is>
      </c>
      <c r="BC560" t="inlineStr">
        <is>
          <t>32285000966639</t>
        </is>
      </c>
      <c r="BD560" t="inlineStr">
        <is>
          <t>893225394</t>
        </is>
      </c>
    </row>
    <row r="561">
      <c r="A561" t="inlineStr">
        <is>
          <t>No</t>
        </is>
      </c>
      <c r="B561" t="inlineStr">
        <is>
          <t>BV4501.2 .H43 1999</t>
        </is>
      </c>
      <c r="C561" t="inlineStr">
        <is>
          <t>0                      BV 4501200H  43          1999</t>
        </is>
      </c>
      <c r="D561" t="inlineStr">
        <is>
          <t>The fifth dimension : an exploration of the spiritual realm / John Hick.</t>
        </is>
      </c>
      <c r="F561" t="inlineStr">
        <is>
          <t>No</t>
        </is>
      </c>
      <c r="G561" t="inlineStr">
        <is>
          <t>1</t>
        </is>
      </c>
      <c r="H561" t="inlineStr">
        <is>
          <t>No</t>
        </is>
      </c>
      <c r="I561" t="inlineStr">
        <is>
          <t>No</t>
        </is>
      </c>
      <c r="J561" t="inlineStr">
        <is>
          <t>0</t>
        </is>
      </c>
      <c r="K561" t="inlineStr">
        <is>
          <t>Hick, John, 1922-2012.</t>
        </is>
      </c>
      <c r="L561" t="inlineStr">
        <is>
          <t>Oxford : Oneworld, c1999.</t>
        </is>
      </c>
      <c r="M561" t="inlineStr">
        <is>
          <t>1999</t>
        </is>
      </c>
      <c r="O561" t="inlineStr">
        <is>
          <t>eng</t>
        </is>
      </c>
      <c r="P561" t="inlineStr">
        <is>
          <t>enk</t>
        </is>
      </c>
      <c r="R561" t="inlineStr">
        <is>
          <t xml:space="preserve">BV </t>
        </is>
      </c>
      <c r="S561" t="n">
        <v>2</v>
      </c>
      <c r="T561" t="n">
        <v>2</v>
      </c>
      <c r="U561" t="inlineStr">
        <is>
          <t>2002-04-09</t>
        </is>
      </c>
      <c r="V561" t="inlineStr">
        <is>
          <t>2002-04-09</t>
        </is>
      </c>
      <c r="W561" t="inlineStr">
        <is>
          <t>2002-03-05</t>
        </is>
      </c>
      <c r="X561" t="inlineStr">
        <is>
          <t>2002-03-05</t>
        </is>
      </c>
      <c r="Y561" t="n">
        <v>263</v>
      </c>
      <c r="Z561" t="n">
        <v>171</v>
      </c>
      <c r="AA561" t="n">
        <v>242</v>
      </c>
      <c r="AB561" t="n">
        <v>1</v>
      </c>
      <c r="AC561" t="n">
        <v>1</v>
      </c>
      <c r="AD561" t="n">
        <v>10</v>
      </c>
      <c r="AE561" t="n">
        <v>18</v>
      </c>
      <c r="AF561" t="n">
        <v>3</v>
      </c>
      <c r="AG561" t="n">
        <v>7</v>
      </c>
      <c r="AH561" t="n">
        <v>2</v>
      </c>
      <c r="AI561" t="n">
        <v>6</v>
      </c>
      <c r="AJ561" t="n">
        <v>7</v>
      </c>
      <c r="AK561" t="n">
        <v>12</v>
      </c>
      <c r="AL561" t="n">
        <v>0</v>
      </c>
      <c r="AM561" t="n">
        <v>0</v>
      </c>
      <c r="AN561" t="n">
        <v>0</v>
      </c>
      <c r="AO561" t="n">
        <v>0</v>
      </c>
      <c r="AP561" t="inlineStr">
        <is>
          <t>No</t>
        </is>
      </c>
      <c r="AQ561" t="inlineStr">
        <is>
          <t>Yes</t>
        </is>
      </c>
      <c r="AR561">
        <f>HYPERLINK("http://catalog.hathitrust.org/Record/004046584","HathiTrust Record")</f>
        <v/>
      </c>
      <c r="AS561">
        <f>HYPERLINK("https://creighton-primo.hosted.exlibrisgroup.com/primo-explore/search?tab=default_tab&amp;search_scope=EVERYTHING&amp;vid=01CRU&amp;lang=en_US&amp;offset=0&amp;query=any,contains,991003719439702656","Catalog Record")</f>
        <v/>
      </c>
      <c r="AT561">
        <f>HYPERLINK("http://www.worldcat.org/oclc/59438113","WorldCat Record")</f>
        <v/>
      </c>
      <c r="AU561" t="inlineStr">
        <is>
          <t>20287998:eng</t>
        </is>
      </c>
      <c r="AV561" t="inlineStr">
        <is>
          <t>59438113</t>
        </is>
      </c>
      <c r="AW561" t="inlineStr">
        <is>
          <t>991003719439702656</t>
        </is>
      </c>
      <c r="AX561" t="inlineStr">
        <is>
          <t>991003719439702656</t>
        </is>
      </c>
      <c r="AY561" t="inlineStr">
        <is>
          <t>2260717540002656</t>
        </is>
      </c>
      <c r="AZ561" t="inlineStr">
        <is>
          <t>BOOK</t>
        </is>
      </c>
      <c r="BB561" t="inlineStr">
        <is>
          <t>9781851681907</t>
        </is>
      </c>
      <c r="BC561" t="inlineStr">
        <is>
          <t>32285004459789</t>
        </is>
      </c>
      <c r="BD561" t="inlineStr">
        <is>
          <t>893693069</t>
        </is>
      </c>
    </row>
    <row r="562">
      <c r="A562" t="inlineStr">
        <is>
          <t>No</t>
        </is>
      </c>
      <c r="B562" t="inlineStr">
        <is>
          <t>BV4501.2 .H8 1985</t>
        </is>
      </c>
      <c r="C562" t="inlineStr">
        <is>
          <t>0                      BV 4501200H  8           1985</t>
        </is>
      </c>
      <c r="D562" t="inlineStr">
        <is>
          <t>What prevents Christian adults from learning? / John M. Hull.</t>
        </is>
      </c>
      <c r="F562" t="inlineStr">
        <is>
          <t>No</t>
        </is>
      </c>
      <c r="G562" t="inlineStr">
        <is>
          <t>1</t>
        </is>
      </c>
      <c r="H562" t="inlineStr">
        <is>
          <t>No</t>
        </is>
      </c>
      <c r="I562" t="inlineStr">
        <is>
          <t>No</t>
        </is>
      </c>
      <c r="J562" t="inlineStr">
        <is>
          <t>0</t>
        </is>
      </c>
      <c r="K562" t="inlineStr">
        <is>
          <t>Hull, John M.</t>
        </is>
      </c>
      <c r="L562" t="inlineStr">
        <is>
          <t>London : SCM, 1985.</t>
        </is>
      </c>
      <c r="M562" t="inlineStr">
        <is>
          <t>1985</t>
        </is>
      </c>
      <c r="O562" t="inlineStr">
        <is>
          <t>eng</t>
        </is>
      </c>
      <c r="P562" t="inlineStr">
        <is>
          <t>enk</t>
        </is>
      </c>
      <c r="R562" t="inlineStr">
        <is>
          <t xml:space="preserve">BV </t>
        </is>
      </c>
      <c r="S562" t="n">
        <v>2</v>
      </c>
      <c r="T562" t="n">
        <v>2</v>
      </c>
      <c r="U562" t="inlineStr">
        <is>
          <t>1993-01-06</t>
        </is>
      </c>
      <c r="V562" t="inlineStr">
        <is>
          <t>1993-01-06</t>
        </is>
      </c>
      <c r="W562" t="inlineStr">
        <is>
          <t>1992-02-26</t>
        </is>
      </c>
      <c r="X562" t="inlineStr">
        <is>
          <t>1992-02-26</t>
        </is>
      </c>
      <c r="Y562" t="n">
        <v>125</v>
      </c>
      <c r="Z562" t="n">
        <v>56</v>
      </c>
      <c r="AA562" t="n">
        <v>152</v>
      </c>
      <c r="AB562" t="n">
        <v>1</v>
      </c>
      <c r="AC562" t="n">
        <v>1</v>
      </c>
      <c r="AD562" t="n">
        <v>2</v>
      </c>
      <c r="AE562" t="n">
        <v>9</v>
      </c>
      <c r="AF562" t="n">
        <v>0</v>
      </c>
      <c r="AG562" t="n">
        <v>4</v>
      </c>
      <c r="AH562" t="n">
        <v>0</v>
      </c>
      <c r="AI562" t="n">
        <v>1</v>
      </c>
      <c r="AJ562" t="n">
        <v>2</v>
      </c>
      <c r="AK562" t="n">
        <v>6</v>
      </c>
      <c r="AL562" t="n">
        <v>0</v>
      </c>
      <c r="AM562" t="n">
        <v>0</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HYPERLINK("https://creighton-primo.hosted.exlibrisgroup.com/primo-explore/search?tab=default_tab&amp;search_scope=EVERYTHING&amp;vid=01CRU&amp;lang=en_US&amp;offset=0&amp;query=any,contains,991000730319702656","Catalog Record")</f>
        <v/>
      </c>
      <c r="AT562">
        <f>HYPERLINK("http://www.worldcat.org/oclc/14692863","WorldCat Record")</f>
        <v/>
      </c>
      <c r="AU562" t="inlineStr">
        <is>
          <t>9087550:eng</t>
        </is>
      </c>
      <c r="AV562" t="inlineStr">
        <is>
          <t>14692863</t>
        </is>
      </c>
      <c r="AW562" t="inlineStr">
        <is>
          <t>991000730319702656</t>
        </is>
      </c>
      <c r="AX562" t="inlineStr">
        <is>
          <t>991000730319702656</t>
        </is>
      </c>
      <c r="AY562" t="inlineStr">
        <is>
          <t>2268781970002656</t>
        </is>
      </c>
      <c r="AZ562" t="inlineStr">
        <is>
          <t>BOOK</t>
        </is>
      </c>
      <c r="BB562" t="inlineStr">
        <is>
          <t>9780334017844</t>
        </is>
      </c>
      <c r="BC562" t="inlineStr">
        <is>
          <t>32285000966647</t>
        </is>
      </c>
      <c r="BD562" t="inlineStr">
        <is>
          <t>893419730</t>
        </is>
      </c>
    </row>
    <row r="563">
      <c r="A563" t="inlineStr">
        <is>
          <t>No</t>
        </is>
      </c>
      <c r="B563" t="inlineStr">
        <is>
          <t>BV4501.2 .I77 2001</t>
        </is>
      </c>
      <c r="C563" t="inlineStr">
        <is>
          <t>0                      BV 4501200I  77          2001</t>
        </is>
      </c>
      <c r="D563" t="inlineStr">
        <is>
          <t>Wasting time with God : a Christian spirituality of friendship with God / Klaus Issler.</t>
        </is>
      </c>
      <c r="F563" t="inlineStr">
        <is>
          <t>No</t>
        </is>
      </c>
      <c r="G563" t="inlineStr">
        <is>
          <t>1</t>
        </is>
      </c>
      <c r="H563" t="inlineStr">
        <is>
          <t>No</t>
        </is>
      </c>
      <c r="I563" t="inlineStr">
        <is>
          <t>No</t>
        </is>
      </c>
      <c r="J563" t="inlineStr">
        <is>
          <t>0</t>
        </is>
      </c>
      <c r="K563" t="inlineStr">
        <is>
          <t>Issler, Klaus Dieter.</t>
        </is>
      </c>
      <c r="L563" t="inlineStr">
        <is>
          <t>Downers Grove, Ill. : InterVarsity Press, c2001.</t>
        </is>
      </c>
      <c r="M563" t="inlineStr">
        <is>
          <t>2001</t>
        </is>
      </c>
      <c r="O563" t="inlineStr">
        <is>
          <t>eng</t>
        </is>
      </c>
      <c r="P563" t="inlineStr">
        <is>
          <t>ilu</t>
        </is>
      </c>
      <c r="R563" t="inlineStr">
        <is>
          <t xml:space="preserve">BV </t>
        </is>
      </c>
      <c r="S563" t="n">
        <v>1</v>
      </c>
      <c r="T563" t="n">
        <v>1</v>
      </c>
      <c r="U563" t="inlineStr">
        <is>
          <t>2006-05-23</t>
        </is>
      </c>
      <c r="V563" t="inlineStr">
        <is>
          <t>2006-05-23</t>
        </is>
      </c>
      <c r="W563" t="inlineStr">
        <is>
          <t>2006-05-23</t>
        </is>
      </c>
      <c r="X563" t="inlineStr">
        <is>
          <t>2006-05-23</t>
        </is>
      </c>
      <c r="Y563" t="n">
        <v>159</v>
      </c>
      <c r="Z563" t="n">
        <v>137</v>
      </c>
      <c r="AA563" t="n">
        <v>138</v>
      </c>
      <c r="AB563" t="n">
        <v>1</v>
      </c>
      <c r="AC563" t="n">
        <v>1</v>
      </c>
      <c r="AD563" t="n">
        <v>5</v>
      </c>
      <c r="AE563" t="n">
        <v>5</v>
      </c>
      <c r="AF563" t="n">
        <v>3</v>
      </c>
      <c r="AG563" t="n">
        <v>3</v>
      </c>
      <c r="AH563" t="n">
        <v>1</v>
      </c>
      <c r="AI563" t="n">
        <v>1</v>
      </c>
      <c r="AJ563" t="n">
        <v>1</v>
      </c>
      <c r="AK563" t="n">
        <v>1</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HYPERLINK("https://creighton-primo.hosted.exlibrisgroup.com/primo-explore/search?tab=default_tab&amp;search_scope=EVERYTHING&amp;vid=01CRU&amp;lang=en_US&amp;offset=0&amp;query=any,contains,991004781579702656","Catalog Record")</f>
        <v/>
      </c>
      <c r="AT563">
        <f>HYPERLINK("http://www.worldcat.org/oclc/46353425","WorldCat Record")</f>
        <v/>
      </c>
      <c r="AU563" t="inlineStr">
        <is>
          <t>36900826:eng</t>
        </is>
      </c>
      <c r="AV563" t="inlineStr">
        <is>
          <t>46353425</t>
        </is>
      </c>
      <c r="AW563" t="inlineStr">
        <is>
          <t>991004781579702656</t>
        </is>
      </c>
      <c r="AX563" t="inlineStr">
        <is>
          <t>991004781579702656</t>
        </is>
      </c>
      <c r="AY563" t="inlineStr">
        <is>
          <t>2256868630002656</t>
        </is>
      </c>
      <c r="AZ563" t="inlineStr">
        <is>
          <t>BOOK</t>
        </is>
      </c>
      <c r="BB563" t="inlineStr">
        <is>
          <t>9780830822805</t>
        </is>
      </c>
      <c r="BC563" t="inlineStr">
        <is>
          <t>32285005188676</t>
        </is>
      </c>
      <c r="BD563" t="inlineStr">
        <is>
          <t>893776443</t>
        </is>
      </c>
    </row>
    <row r="564">
      <c r="A564" t="inlineStr">
        <is>
          <t>No</t>
        </is>
      </c>
      <c r="B564" t="inlineStr">
        <is>
          <t>BV4501.2 .J558 1990</t>
        </is>
      </c>
      <c r="C564" t="inlineStr">
        <is>
          <t>0                      BV 4501200J  558         1990</t>
        </is>
      </c>
      <c r="D564" t="inlineStr">
        <is>
          <t>Faith's freedom : a classic spirituality for contemporary Christians / Luke T. Johnson.</t>
        </is>
      </c>
      <c r="F564" t="inlineStr">
        <is>
          <t>No</t>
        </is>
      </c>
      <c r="G564" t="inlineStr">
        <is>
          <t>1</t>
        </is>
      </c>
      <c r="H564" t="inlineStr">
        <is>
          <t>No</t>
        </is>
      </c>
      <c r="I564" t="inlineStr">
        <is>
          <t>No</t>
        </is>
      </c>
      <c r="J564" t="inlineStr">
        <is>
          <t>0</t>
        </is>
      </c>
      <c r="K564" t="inlineStr">
        <is>
          <t>Johnson, Luke Timothy.</t>
        </is>
      </c>
      <c r="L564" t="inlineStr">
        <is>
          <t>Minneapolis : Fortress Press, c1990.</t>
        </is>
      </c>
      <c r="M564" t="inlineStr">
        <is>
          <t>1990</t>
        </is>
      </c>
      <c r="O564" t="inlineStr">
        <is>
          <t>eng</t>
        </is>
      </c>
      <c r="P564" t="inlineStr">
        <is>
          <t>mnu</t>
        </is>
      </c>
      <c r="R564" t="inlineStr">
        <is>
          <t xml:space="preserve">BV </t>
        </is>
      </c>
      <c r="S564" t="n">
        <v>7</v>
      </c>
      <c r="T564" t="n">
        <v>7</v>
      </c>
      <c r="U564" t="inlineStr">
        <is>
          <t>2001-02-07</t>
        </is>
      </c>
      <c r="V564" t="inlineStr">
        <is>
          <t>2001-02-07</t>
        </is>
      </c>
      <c r="W564" t="inlineStr">
        <is>
          <t>1991-10-10</t>
        </is>
      </c>
      <c r="X564" t="inlineStr">
        <is>
          <t>1991-10-10</t>
        </is>
      </c>
      <c r="Y564" t="n">
        <v>244</v>
      </c>
      <c r="Z564" t="n">
        <v>204</v>
      </c>
      <c r="AA564" t="n">
        <v>204</v>
      </c>
      <c r="AB564" t="n">
        <v>2</v>
      </c>
      <c r="AC564" t="n">
        <v>2</v>
      </c>
      <c r="AD564" t="n">
        <v>17</v>
      </c>
      <c r="AE564" t="n">
        <v>17</v>
      </c>
      <c r="AF564" t="n">
        <v>6</v>
      </c>
      <c r="AG564" t="n">
        <v>6</v>
      </c>
      <c r="AH564" t="n">
        <v>4</v>
      </c>
      <c r="AI564" t="n">
        <v>4</v>
      </c>
      <c r="AJ564" t="n">
        <v>10</v>
      </c>
      <c r="AK564" t="n">
        <v>10</v>
      </c>
      <c r="AL564" t="n">
        <v>1</v>
      </c>
      <c r="AM564" t="n">
        <v>1</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HYPERLINK("https://creighton-primo.hosted.exlibrisgroup.com/primo-explore/search?tab=default_tab&amp;search_scope=EVERYTHING&amp;vid=01CRU&amp;lang=en_US&amp;offset=0&amp;query=any,contains,991001662309702656","Catalog Record")</f>
        <v/>
      </c>
      <c r="AT564">
        <f>HYPERLINK("http://www.worldcat.org/oclc/21194915","WorldCat Record")</f>
        <v/>
      </c>
      <c r="AU564" t="inlineStr">
        <is>
          <t>22795140:eng</t>
        </is>
      </c>
      <c r="AV564" t="inlineStr">
        <is>
          <t>21194915</t>
        </is>
      </c>
      <c r="AW564" t="inlineStr">
        <is>
          <t>991001662309702656</t>
        </is>
      </c>
      <c r="AX564" t="inlineStr">
        <is>
          <t>991001662309702656</t>
        </is>
      </c>
      <c r="AY564" t="inlineStr">
        <is>
          <t>2269677730002656</t>
        </is>
      </c>
      <c r="AZ564" t="inlineStr">
        <is>
          <t>BOOK</t>
        </is>
      </c>
      <c r="BB564" t="inlineStr">
        <is>
          <t>9780800624286</t>
        </is>
      </c>
      <c r="BC564" t="inlineStr">
        <is>
          <t>32285000725902</t>
        </is>
      </c>
      <c r="BD564" t="inlineStr">
        <is>
          <t>893529093</t>
        </is>
      </c>
    </row>
    <row r="565">
      <c r="A565" t="inlineStr">
        <is>
          <t>No</t>
        </is>
      </c>
      <c r="B565" t="inlineStr">
        <is>
          <t>BV4501.2 .J5855 1995</t>
        </is>
      </c>
      <c r="C565" t="inlineStr">
        <is>
          <t>0                      BV 4501200J  5855        1995</t>
        </is>
      </c>
      <c r="D565" t="inlineStr">
        <is>
          <t>The soul's journey : exploring the three passages of the spiritual life with Dante as a guide / Alan Jones.</t>
        </is>
      </c>
      <c r="F565" t="inlineStr">
        <is>
          <t>No</t>
        </is>
      </c>
      <c r="G565" t="inlineStr">
        <is>
          <t>1</t>
        </is>
      </c>
      <c r="H565" t="inlineStr">
        <is>
          <t>No</t>
        </is>
      </c>
      <c r="I565" t="inlineStr">
        <is>
          <t>No</t>
        </is>
      </c>
      <c r="J565" t="inlineStr">
        <is>
          <t>0</t>
        </is>
      </c>
      <c r="K565" t="inlineStr">
        <is>
          <t>Jones, Alan W., 1940-</t>
        </is>
      </c>
      <c r="L565" t="inlineStr">
        <is>
          <t>[San Francisco, Calif.] : HarperSanFrancisco, c1995.</t>
        </is>
      </c>
      <c r="M565" t="inlineStr">
        <is>
          <t>1995</t>
        </is>
      </c>
      <c r="N565" t="inlineStr">
        <is>
          <t>1st ed.</t>
        </is>
      </c>
      <c r="O565" t="inlineStr">
        <is>
          <t>eng</t>
        </is>
      </c>
      <c r="P565" t="inlineStr">
        <is>
          <t>cau</t>
        </is>
      </c>
      <c r="R565" t="inlineStr">
        <is>
          <t xml:space="preserve">BV </t>
        </is>
      </c>
      <c r="S565" t="n">
        <v>1</v>
      </c>
      <c r="T565" t="n">
        <v>1</v>
      </c>
      <c r="U565" t="inlineStr">
        <is>
          <t>2004-07-23</t>
        </is>
      </c>
      <c r="V565" t="inlineStr">
        <is>
          <t>2004-07-23</t>
        </is>
      </c>
      <c r="W565" t="inlineStr">
        <is>
          <t>1997-04-03</t>
        </is>
      </c>
      <c r="X565" t="inlineStr">
        <is>
          <t>1997-04-03</t>
        </is>
      </c>
      <c r="Y565" t="n">
        <v>186</v>
      </c>
      <c r="Z565" t="n">
        <v>171</v>
      </c>
      <c r="AA565" t="n">
        <v>191</v>
      </c>
      <c r="AB565" t="n">
        <v>2</v>
      </c>
      <c r="AC565" t="n">
        <v>3</v>
      </c>
      <c r="AD565" t="n">
        <v>5</v>
      </c>
      <c r="AE565" t="n">
        <v>7</v>
      </c>
      <c r="AF565" t="n">
        <v>1</v>
      </c>
      <c r="AG565" t="n">
        <v>1</v>
      </c>
      <c r="AH565" t="n">
        <v>0</v>
      </c>
      <c r="AI565" t="n">
        <v>0</v>
      </c>
      <c r="AJ565" t="n">
        <v>3</v>
      </c>
      <c r="AK565" t="n">
        <v>4</v>
      </c>
      <c r="AL565" t="n">
        <v>1</v>
      </c>
      <c r="AM565" t="n">
        <v>2</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HYPERLINK("https://creighton-primo.hosted.exlibrisgroup.com/primo-explore/search?tab=default_tab&amp;search_scope=EVERYTHING&amp;vid=01CRU&amp;lang=en_US&amp;offset=0&amp;query=any,contains,991002449229702656","Catalog Record")</f>
        <v/>
      </c>
      <c r="AT565">
        <f>HYPERLINK("http://www.worldcat.org/oclc/31936858","WorldCat Record")</f>
        <v/>
      </c>
      <c r="AU565" t="inlineStr">
        <is>
          <t>291306729:eng</t>
        </is>
      </c>
      <c r="AV565" t="inlineStr">
        <is>
          <t>31936858</t>
        </is>
      </c>
      <c r="AW565" t="inlineStr">
        <is>
          <t>991002449229702656</t>
        </is>
      </c>
      <c r="AX565" t="inlineStr">
        <is>
          <t>991002449229702656</t>
        </is>
      </c>
      <c r="AY565" t="inlineStr">
        <is>
          <t>2256227990002656</t>
        </is>
      </c>
      <c r="AZ565" t="inlineStr">
        <is>
          <t>BOOK</t>
        </is>
      </c>
      <c r="BB565" t="inlineStr">
        <is>
          <t>9780060642532</t>
        </is>
      </c>
      <c r="BC565" t="inlineStr">
        <is>
          <t>32285002478252</t>
        </is>
      </c>
      <c r="BD565" t="inlineStr">
        <is>
          <t>893616129</t>
        </is>
      </c>
    </row>
    <row r="566">
      <c r="A566" t="inlineStr">
        <is>
          <t>No</t>
        </is>
      </c>
      <c r="B566" t="inlineStr">
        <is>
          <t>BV4501.2 .J673</t>
        </is>
      </c>
      <c r="C566" t="inlineStr">
        <is>
          <t>0                      BV 4501200J  673</t>
        </is>
      </c>
      <c r="D566" t="inlineStr">
        <is>
          <t>The Journey of Western spirituality / edited by A.W. Sadler.</t>
        </is>
      </c>
      <c r="F566" t="inlineStr">
        <is>
          <t>No</t>
        </is>
      </c>
      <c r="G566" t="inlineStr">
        <is>
          <t>1</t>
        </is>
      </c>
      <c r="H566" t="inlineStr">
        <is>
          <t>No</t>
        </is>
      </c>
      <c r="I566" t="inlineStr">
        <is>
          <t>No</t>
        </is>
      </c>
      <c r="J566" t="inlineStr">
        <is>
          <t>0</t>
        </is>
      </c>
      <c r="L566" t="inlineStr">
        <is>
          <t>Chico, Calif. : Scholars Press, c1981.</t>
        </is>
      </c>
      <c r="M566" t="inlineStr">
        <is>
          <t>1981</t>
        </is>
      </c>
      <c r="O566" t="inlineStr">
        <is>
          <t>eng</t>
        </is>
      </c>
      <c r="P566" t="inlineStr">
        <is>
          <t>cau</t>
        </is>
      </c>
      <c r="Q566" t="inlineStr">
        <is>
          <t>The Annual publication of the College Theology Society</t>
        </is>
      </c>
      <c r="R566" t="inlineStr">
        <is>
          <t xml:space="preserve">BV </t>
        </is>
      </c>
      <c r="S566" t="n">
        <v>9</v>
      </c>
      <c r="T566" t="n">
        <v>9</v>
      </c>
      <c r="U566" t="inlineStr">
        <is>
          <t>2005-04-09</t>
        </is>
      </c>
      <c r="V566" t="inlineStr">
        <is>
          <t>2005-04-09</t>
        </is>
      </c>
      <c r="W566" t="inlineStr">
        <is>
          <t>1992-02-26</t>
        </is>
      </c>
      <c r="X566" t="inlineStr">
        <is>
          <t>1992-02-26</t>
        </is>
      </c>
      <c r="Y566" t="n">
        <v>189</v>
      </c>
      <c r="Z566" t="n">
        <v>158</v>
      </c>
      <c r="AA566" t="n">
        <v>161</v>
      </c>
      <c r="AB566" t="n">
        <v>2</v>
      </c>
      <c r="AC566" t="n">
        <v>2</v>
      </c>
      <c r="AD566" t="n">
        <v>23</v>
      </c>
      <c r="AE566" t="n">
        <v>23</v>
      </c>
      <c r="AF566" t="n">
        <v>7</v>
      </c>
      <c r="AG566" t="n">
        <v>7</v>
      </c>
      <c r="AH566" t="n">
        <v>6</v>
      </c>
      <c r="AI566" t="n">
        <v>6</v>
      </c>
      <c r="AJ566" t="n">
        <v>16</v>
      </c>
      <c r="AK566" t="n">
        <v>16</v>
      </c>
      <c r="AL566" t="n">
        <v>1</v>
      </c>
      <c r="AM566" t="n">
        <v>1</v>
      </c>
      <c r="AN566" t="n">
        <v>0</v>
      </c>
      <c r="AO566" t="n">
        <v>0</v>
      </c>
      <c r="AP566" t="inlineStr">
        <is>
          <t>No</t>
        </is>
      </c>
      <c r="AQ566" t="inlineStr">
        <is>
          <t>Yes</t>
        </is>
      </c>
      <c r="AR566">
        <f>HYPERLINK("http://catalog.hathitrust.org/Record/007117800","HathiTrust Record")</f>
        <v/>
      </c>
      <c r="AS566">
        <f>HYPERLINK("https://creighton-primo.hosted.exlibrisgroup.com/primo-explore/search?tab=default_tab&amp;search_scope=EVERYTHING&amp;vid=01CRU&amp;lang=en_US&amp;offset=0&amp;query=any,contains,991005123809702656","Catalog Record")</f>
        <v/>
      </c>
      <c r="AT566">
        <f>HYPERLINK("http://www.worldcat.org/oclc/7551425","WorldCat Record")</f>
        <v/>
      </c>
      <c r="AU566" t="inlineStr">
        <is>
          <t>54449177:eng</t>
        </is>
      </c>
      <c r="AV566" t="inlineStr">
        <is>
          <t>7551425</t>
        </is>
      </c>
      <c r="AW566" t="inlineStr">
        <is>
          <t>991005123809702656</t>
        </is>
      </c>
      <c r="AX566" t="inlineStr">
        <is>
          <t>991005123809702656</t>
        </is>
      </c>
      <c r="AY566" t="inlineStr">
        <is>
          <t>2266097770002656</t>
        </is>
      </c>
      <c r="AZ566" t="inlineStr">
        <is>
          <t>BOOK</t>
        </is>
      </c>
      <c r="BB566" t="inlineStr">
        <is>
          <t>9780891305057</t>
        </is>
      </c>
      <c r="BC566" t="inlineStr">
        <is>
          <t>32285000966662</t>
        </is>
      </c>
      <c r="BD566" t="inlineStr">
        <is>
          <t>893876979</t>
        </is>
      </c>
    </row>
    <row r="567">
      <c r="A567" t="inlineStr">
        <is>
          <t>No</t>
        </is>
      </c>
      <c r="B567" t="inlineStr">
        <is>
          <t>BV4501.2 .K37 1999</t>
        </is>
      </c>
      <c r="C567" t="inlineStr">
        <is>
          <t>0                      BV 4501200K  37          1999</t>
        </is>
      </c>
      <c r="D567" t="inlineStr">
        <is>
          <t>The heart of the world : an introduction to contemplative Christianity / Thomas Keating, as told to John Osborne.</t>
        </is>
      </c>
      <c r="F567" t="inlineStr">
        <is>
          <t>No</t>
        </is>
      </c>
      <c r="G567" t="inlineStr">
        <is>
          <t>1</t>
        </is>
      </c>
      <c r="H567" t="inlineStr">
        <is>
          <t>No</t>
        </is>
      </c>
      <c r="I567" t="inlineStr">
        <is>
          <t>No</t>
        </is>
      </c>
      <c r="J567" t="inlineStr">
        <is>
          <t>0</t>
        </is>
      </c>
      <c r="K567" t="inlineStr">
        <is>
          <t>Keating, Thomas.</t>
        </is>
      </c>
      <c r="L567" t="inlineStr">
        <is>
          <t>New York : Crossroad, 1999.</t>
        </is>
      </c>
      <c r="M567" t="inlineStr">
        <is>
          <t>1999</t>
        </is>
      </c>
      <c r="O567" t="inlineStr">
        <is>
          <t>eng</t>
        </is>
      </c>
      <c r="P567" t="inlineStr">
        <is>
          <t>nyu</t>
        </is>
      </c>
      <c r="R567" t="inlineStr">
        <is>
          <t xml:space="preserve">BV </t>
        </is>
      </c>
      <c r="S567" t="n">
        <v>4</v>
      </c>
      <c r="T567" t="n">
        <v>4</v>
      </c>
      <c r="U567" t="inlineStr">
        <is>
          <t>2010-09-15</t>
        </is>
      </c>
      <c r="V567" t="inlineStr">
        <is>
          <t>2010-09-15</t>
        </is>
      </c>
      <c r="W567" t="inlineStr">
        <is>
          <t>2001-01-15</t>
        </is>
      </c>
      <c r="X567" t="inlineStr">
        <is>
          <t>2001-01-15</t>
        </is>
      </c>
      <c r="Y567" t="n">
        <v>20</v>
      </c>
      <c r="Z567" t="n">
        <v>15</v>
      </c>
      <c r="AA567" t="n">
        <v>75</v>
      </c>
      <c r="AB567" t="n">
        <v>1</v>
      </c>
      <c r="AC567" t="n">
        <v>1</v>
      </c>
      <c r="AD567" t="n">
        <v>1</v>
      </c>
      <c r="AE567" t="n">
        <v>5</v>
      </c>
      <c r="AF567" t="n">
        <v>0</v>
      </c>
      <c r="AG567" t="n">
        <v>1</v>
      </c>
      <c r="AH567" t="n">
        <v>1</v>
      </c>
      <c r="AI567" t="n">
        <v>2</v>
      </c>
      <c r="AJ567" t="n">
        <v>0</v>
      </c>
      <c r="AK567" t="n">
        <v>3</v>
      </c>
      <c r="AL567" t="n">
        <v>0</v>
      </c>
      <c r="AM567" t="n">
        <v>0</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HYPERLINK("https://creighton-primo.hosted.exlibrisgroup.com/primo-explore/search?tab=default_tab&amp;search_scope=EVERYTHING&amp;vid=01CRU&amp;lang=en_US&amp;offset=0&amp;query=any,contains,991003464229702656","Catalog Record")</f>
        <v/>
      </c>
      <c r="AT567">
        <f>HYPERLINK("http://www.worldcat.org/oclc/43452959","WorldCat Record")</f>
        <v/>
      </c>
      <c r="AU567" t="inlineStr">
        <is>
          <t>28880608:eng</t>
        </is>
      </c>
      <c r="AV567" t="inlineStr">
        <is>
          <t>43452959</t>
        </is>
      </c>
      <c r="AW567" t="inlineStr">
        <is>
          <t>991003464229702656</t>
        </is>
      </c>
      <c r="AX567" t="inlineStr">
        <is>
          <t>991003464229702656</t>
        </is>
      </c>
      <c r="AY567" t="inlineStr">
        <is>
          <t>2259446820002656</t>
        </is>
      </c>
      <c r="AZ567" t="inlineStr">
        <is>
          <t>BOOK</t>
        </is>
      </c>
      <c r="BC567" t="inlineStr">
        <is>
          <t>32285004283304</t>
        </is>
      </c>
      <c r="BD567" t="inlineStr">
        <is>
          <t>893518491</t>
        </is>
      </c>
    </row>
    <row r="568">
      <c r="A568" t="inlineStr">
        <is>
          <t>No</t>
        </is>
      </c>
      <c r="B568" t="inlineStr">
        <is>
          <t>BV4501.2 .K4265 1988</t>
        </is>
      </c>
      <c r="C568" t="inlineStr">
        <is>
          <t>0                      BV 4501200K  4265        1988</t>
        </is>
      </c>
      <c r="D568" t="inlineStr">
        <is>
          <t>Symbols of inner truth : uncovering the spiritual meaning of experience / Carole Marie Kelly.</t>
        </is>
      </c>
      <c r="F568" t="inlineStr">
        <is>
          <t>No</t>
        </is>
      </c>
      <c r="G568" t="inlineStr">
        <is>
          <t>1</t>
        </is>
      </c>
      <c r="H568" t="inlineStr">
        <is>
          <t>No</t>
        </is>
      </c>
      <c r="I568" t="inlineStr">
        <is>
          <t>No</t>
        </is>
      </c>
      <c r="J568" t="inlineStr">
        <is>
          <t>0</t>
        </is>
      </c>
      <c r="K568" t="inlineStr">
        <is>
          <t>Kelly, Carole Marie.</t>
        </is>
      </c>
      <c r="L568" t="inlineStr">
        <is>
          <t>New York : Paulist Press, c1988.</t>
        </is>
      </c>
      <c r="M568" t="inlineStr">
        <is>
          <t>1988</t>
        </is>
      </c>
      <c r="O568" t="inlineStr">
        <is>
          <t>eng</t>
        </is>
      </c>
      <c r="P568" t="inlineStr">
        <is>
          <t>nyu</t>
        </is>
      </c>
      <c r="R568" t="inlineStr">
        <is>
          <t xml:space="preserve">BV </t>
        </is>
      </c>
      <c r="S568" t="n">
        <v>7</v>
      </c>
      <c r="T568" t="n">
        <v>7</v>
      </c>
      <c r="U568" t="inlineStr">
        <is>
          <t>2005-07-11</t>
        </is>
      </c>
      <c r="V568" t="inlineStr">
        <is>
          <t>2005-07-11</t>
        </is>
      </c>
      <c r="W568" t="inlineStr">
        <is>
          <t>1992-02-26</t>
        </is>
      </c>
      <c r="X568" t="inlineStr">
        <is>
          <t>1992-02-26</t>
        </is>
      </c>
      <c r="Y568" t="n">
        <v>129</v>
      </c>
      <c r="Z568" t="n">
        <v>113</v>
      </c>
      <c r="AA568" t="n">
        <v>118</v>
      </c>
      <c r="AB568" t="n">
        <v>2</v>
      </c>
      <c r="AC568" t="n">
        <v>2</v>
      </c>
      <c r="AD568" t="n">
        <v>10</v>
      </c>
      <c r="AE568" t="n">
        <v>10</v>
      </c>
      <c r="AF568" t="n">
        <v>2</v>
      </c>
      <c r="AG568" t="n">
        <v>2</v>
      </c>
      <c r="AH568" t="n">
        <v>2</v>
      </c>
      <c r="AI568" t="n">
        <v>2</v>
      </c>
      <c r="AJ568" t="n">
        <v>8</v>
      </c>
      <c r="AK568" t="n">
        <v>8</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HYPERLINK("https://creighton-primo.hosted.exlibrisgroup.com/primo-explore/search?tab=default_tab&amp;search_scope=EVERYTHING&amp;vid=01CRU&amp;lang=en_US&amp;offset=0&amp;query=any,contains,991001341299702656","Catalog Record")</f>
        <v/>
      </c>
      <c r="AT568">
        <f>HYPERLINK("http://www.worldcat.org/oclc/18382717","WorldCat Record")</f>
        <v/>
      </c>
      <c r="AU568" t="inlineStr">
        <is>
          <t>17819484:eng</t>
        </is>
      </c>
      <c r="AV568" t="inlineStr">
        <is>
          <t>18382717</t>
        </is>
      </c>
      <c r="AW568" t="inlineStr">
        <is>
          <t>991001341299702656</t>
        </is>
      </c>
      <c r="AX568" t="inlineStr">
        <is>
          <t>991001341299702656</t>
        </is>
      </c>
      <c r="AY568" t="inlineStr">
        <is>
          <t>2259263250002656</t>
        </is>
      </c>
      <c r="AZ568" t="inlineStr">
        <is>
          <t>BOOK</t>
        </is>
      </c>
      <c r="BB568" t="inlineStr">
        <is>
          <t>9780809104246</t>
        </is>
      </c>
      <c r="BC568" t="inlineStr">
        <is>
          <t>32285000966670</t>
        </is>
      </c>
      <c r="BD568" t="inlineStr">
        <is>
          <t>893608773</t>
        </is>
      </c>
    </row>
    <row r="569">
      <c r="A569" t="inlineStr">
        <is>
          <t>No</t>
        </is>
      </c>
      <c r="B569" t="inlineStr">
        <is>
          <t>BV4501.2 .K4267 1983</t>
        </is>
      </c>
      <c r="C569" t="inlineStr">
        <is>
          <t>0                      BV 4501200K  4267        1983</t>
        </is>
      </c>
      <c r="D569" t="inlineStr">
        <is>
          <t>Companions on the inner way : the art of spiritual guidance / Morton T. Kelsey.</t>
        </is>
      </c>
      <c r="F569" t="inlineStr">
        <is>
          <t>No</t>
        </is>
      </c>
      <c r="G569" t="inlineStr">
        <is>
          <t>1</t>
        </is>
      </c>
      <c r="H569" t="inlineStr">
        <is>
          <t>No</t>
        </is>
      </c>
      <c r="I569" t="inlineStr">
        <is>
          <t>No</t>
        </is>
      </c>
      <c r="J569" t="inlineStr">
        <is>
          <t>0</t>
        </is>
      </c>
      <c r="K569" t="inlineStr">
        <is>
          <t>Kelsey, Morton T.</t>
        </is>
      </c>
      <c r="L569" t="inlineStr">
        <is>
          <t>New York, N.Y. : Crossroad, 1983.</t>
        </is>
      </c>
      <c r="M569" t="inlineStr">
        <is>
          <t>1983</t>
        </is>
      </c>
      <c r="O569" t="inlineStr">
        <is>
          <t>eng</t>
        </is>
      </c>
      <c r="P569" t="inlineStr">
        <is>
          <t>nyu</t>
        </is>
      </c>
      <c r="R569" t="inlineStr">
        <is>
          <t xml:space="preserve">BV </t>
        </is>
      </c>
      <c r="S569" t="n">
        <v>5</v>
      </c>
      <c r="T569" t="n">
        <v>5</v>
      </c>
      <c r="U569" t="inlineStr">
        <is>
          <t>1997-04-27</t>
        </is>
      </c>
      <c r="V569" t="inlineStr">
        <is>
          <t>1997-04-27</t>
        </is>
      </c>
      <c r="W569" t="inlineStr">
        <is>
          <t>1990-05-07</t>
        </is>
      </c>
      <c r="X569" t="inlineStr">
        <is>
          <t>1990-05-07</t>
        </is>
      </c>
      <c r="Y569" t="n">
        <v>334</v>
      </c>
      <c r="Z569" t="n">
        <v>287</v>
      </c>
      <c r="AA569" t="n">
        <v>318</v>
      </c>
      <c r="AB569" t="n">
        <v>2</v>
      </c>
      <c r="AC569" t="n">
        <v>3</v>
      </c>
      <c r="AD569" t="n">
        <v>20</v>
      </c>
      <c r="AE569" t="n">
        <v>24</v>
      </c>
      <c r="AF569" t="n">
        <v>8</v>
      </c>
      <c r="AG569" t="n">
        <v>11</v>
      </c>
      <c r="AH569" t="n">
        <v>5</v>
      </c>
      <c r="AI569" t="n">
        <v>5</v>
      </c>
      <c r="AJ569" t="n">
        <v>12</v>
      </c>
      <c r="AK569" t="n">
        <v>12</v>
      </c>
      <c r="AL569" t="n">
        <v>0</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HYPERLINK("https://creighton-primo.hosted.exlibrisgroup.com/primo-explore/search?tab=default_tab&amp;search_scope=EVERYTHING&amp;vid=01CRU&amp;lang=en_US&amp;offset=0&amp;query=any,contains,991000124339702656","Catalog Record")</f>
        <v/>
      </c>
      <c r="AT569">
        <f>HYPERLINK("http://www.worldcat.org/oclc/9082118","WorldCat Record")</f>
        <v/>
      </c>
      <c r="AU569" t="inlineStr">
        <is>
          <t>21351734:eng</t>
        </is>
      </c>
      <c r="AV569" t="inlineStr">
        <is>
          <t>9082118</t>
        </is>
      </c>
      <c r="AW569" t="inlineStr">
        <is>
          <t>991000124339702656</t>
        </is>
      </c>
      <c r="AX569" t="inlineStr">
        <is>
          <t>991000124339702656</t>
        </is>
      </c>
      <c r="AY569" t="inlineStr">
        <is>
          <t>2255915360002656</t>
        </is>
      </c>
      <c r="AZ569" t="inlineStr">
        <is>
          <t>BOOK</t>
        </is>
      </c>
      <c r="BB569" t="inlineStr">
        <is>
          <t>9780824505608</t>
        </is>
      </c>
      <c r="BC569" t="inlineStr">
        <is>
          <t>32285000149400</t>
        </is>
      </c>
      <c r="BD569" t="inlineStr">
        <is>
          <t>893314703</t>
        </is>
      </c>
    </row>
    <row r="570">
      <c r="A570" t="inlineStr">
        <is>
          <t>No</t>
        </is>
      </c>
      <c r="B570" t="inlineStr">
        <is>
          <t>BV4501.2 .K427</t>
        </is>
      </c>
      <c r="C570" t="inlineStr">
        <is>
          <t>0                      BV 4501200K  427</t>
        </is>
      </c>
      <c r="D570" t="inlineStr">
        <is>
          <t>Transcend : a guide to the spiritual quest / Morton T. Kelsey.</t>
        </is>
      </c>
      <c r="F570" t="inlineStr">
        <is>
          <t>No</t>
        </is>
      </c>
      <c r="G570" t="inlineStr">
        <is>
          <t>1</t>
        </is>
      </c>
      <c r="H570" t="inlineStr">
        <is>
          <t>No</t>
        </is>
      </c>
      <c r="I570" t="inlineStr">
        <is>
          <t>No</t>
        </is>
      </c>
      <c r="J570" t="inlineStr">
        <is>
          <t>0</t>
        </is>
      </c>
      <c r="K570" t="inlineStr">
        <is>
          <t>Kelsey, Morton T.</t>
        </is>
      </c>
      <c r="L570" t="inlineStr">
        <is>
          <t>New York : Crossroad, 1981.</t>
        </is>
      </c>
      <c r="M570" t="inlineStr">
        <is>
          <t>1981</t>
        </is>
      </c>
      <c r="O570" t="inlineStr">
        <is>
          <t>eng</t>
        </is>
      </c>
      <c r="P570" t="inlineStr">
        <is>
          <t>nyu</t>
        </is>
      </c>
      <c r="R570" t="inlineStr">
        <is>
          <t xml:space="preserve">BV </t>
        </is>
      </c>
      <c r="S570" t="n">
        <v>3</v>
      </c>
      <c r="T570" t="n">
        <v>3</v>
      </c>
      <c r="U570" t="inlineStr">
        <is>
          <t>1994-07-06</t>
        </is>
      </c>
      <c r="V570" t="inlineStr">
        <is>
          <t>1994-07-06</t>
        </is>
      </c>
      <c r="W570" t="inlineStr">
        <is>
          <t>1990-05-07</t>
        </is>
      </c>
      <c r="X570" t="inlineStr">
        <is>
          <t>1990-05-07</t>
        </is>
      </c>
      <c r="Y570" t="n">
        <v>276</v>
      </c>
      <c r="Z570" t="n">
        <v>238</v>
      </c>
      <c r="AA570" t="n">
        <v>239</v>
      </c>
      <c r="AB570" t="n">
        <v>3</v>
      </c>
      <c r="AC570" t="n">
        <v>3</v>
      </c>
      <c r="AD570" t="n">
        <v>23</v>
      </c>
      <c r="AE570" t="n">
        <v>23</v>
      </c>
      <c r="AF570" t="n">
        <v>8</v>
      </c>
      <c r="AG570" t="n">
        <v>8</v>
      </c>
      <c r="AH570" t="n">
        <v>5</v>
      </c>
      <c r="AI570" t="n">
        <v>5</v>
      </c>
      <c r="AJ570" t="n">
        <v>16</v>
      </c>
      <c r="AK570" t="n">
        <v>16</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HYPERLINK("https://creighton-primo.hosted.exlibrisgroup.com/primo-explore/search?tab=default_tab&amp;search_scope=EVERYTHING&amp;vid=01CRU&amp;lang=en_US&amp;offset=0&amp;query=any,contains,991005080019702656","Catalog Record")</f>
        <v/>
      </c>
      <c r="AT570">
        <f>HYPERLINK("http://www.worldcat.org/oclc/7170685","WorldCat Record")</f>
        <v/>
      </c>
      <c r="AU570" t="inlineStr">
        <is>
          <t>25929038:eng</t>
        </is>
      </c>
      <c r="AV570" t="inlineStr">
        <is>
          <t>7170685</t>
        </is>
      </c>
      <c r="AW570" t="inlineStr">
        <is>
          <t>991005080019702656</t>
        </is>
      </c>
      <c r="AX570" t="inlineStr">
        <is>
          <t>991005080019702656</t>
        </is>
      </c>
      <c r="AY570" t="inlineStr">
        <is>
          <t>2256614940002656</t>
        </is>
      </c>
      <c r="AZ570" t="inlineStr">
        <is>
          <t>BOOK</t>
        </is>
      </c>
      <c r="BB570" t="inlineStr">
        <is>
          <t>9780824500153</t>
        </is>
      </c>
      <c r="BC570" t="inlineStr">
        <is>
          <t>32285000149418</t>
        </is>
      </c>
      <c r="BD570" t="inlineStr">
        <is>
          <t>893507573</t>
        </is>
      </c>
    </row>
    <row r="571">
      <c r="A571" t="inlineStr">
        <is>
          <t>No</t>
        </is>
      </c>
      <c r="B571" t="inlineStr">
        <is>
          <t>BV4501.2 .K434 1999</t>
        </is>
      </c>
      <c r="C571" t="inlineStr">
        <is>
          <t>0                      BV 4501200K  434         1999</t>
        </is>
      </c>
      <c r="D571" t="inlineStr">
        <is>
          <t>Life on the vine : cultivating the fruit of the spirit in Christian community / Philip D. Kenneson.</t>
        </is>
      </c>
      <c r="F571" t="inlineStr">
        <is>
          <t>No</t>
        </is>
      </c>
      <c r="G571" t="inlineStr">
        <is>
          <t>1</t>
        </is>
      </c>
      <c r="H571" t="inlineStr">
        <is>
          <t>No</t>
        </is>
      </c>
      <c r="I571" t="inlineStr">
        <is>
          <t>No</t>
        </is>
      </c>
      <c r="J571" t="inlineStr">
        <is>
          <t>0</t>
        </is>
      </c>
      <c r="K571" t="inlineStr">
        <is>
          <t>Kenneson, Philip D.</t>
        </is>
      </c>
      <c r="L571" t="inlineStr">
        <is>
          <t>Downers Grove, Ill. : InterVarsity Press, c1999.</t>
        </is>
      </c>
      <c r="M571" t="inlineStr">
        <is>
          <t>1999</t>
        </is>
      </c>
      <c r="O571" t="inlineStr">
        <is>
          <t>eng</t>
        </is>
      </c>
      <c r="P571" t="inlineStr">
        <is>
          <t>ilu</t>
        </is>
      </c>
      <c r="R571" t="inlineStr">
        <is>
          <t xml:space="preserve">BV </t>
        </is>
      </c>
      <c r="S571" t="n">
        <v>2</v>
      </c>
      <c r="T571" t="n">
        <v>2</v>
      </c>
      <c r="U571" t="inlineStr">
        <is>
          <t>2008-04-02</t>
        </is>
      </c>
      <c r="V571" t="inlineStr">
        <is>
          <t>2008-04-02</t>
        </is>
      </c>
      <c r="W571" t="inlineStr">
        <is>
          <t>2006-05-23</t>
        </is>
      </c>
      <c r="X571" t="inlineStr">
        <is>
          <t>2006-05-23</t>
        </is>
      </c>
      <c r="Y571" t="n">
        <v>149</v>
      </c>
      <c r="Z571" t="n">
        <v>130</v>
      </c>
      <c r="AA571" t="n">
        <v>135</v>
      </c>
      <c r="AB571" t="n">
        <v>1</v>
      </c>
      <c r="AC571" t="n">
        <v>1</v>
      </c>
      <c r="AD571" t="n">
        <v>6</v>
      </c>
      <c r="AE571" t="n">
        <v>6</v>
      </c>
      <c r="AF571" t="n">
        <v>4</v>
      </c>
      <c r="AG571" t="n">
        <v>4</v>
      </c>
      <c r="AH571" t="n">
        <v>1</v>
      </c>
      <c r="AI571" t="n">
        <v>1</v>
      </c>
      <c r="AJ571" t="n">
        <v>2</v>
      </c>
      <c r="AK571" t="n">
        <v>2</v>
      </c>
      <c r="AL571" t="n">
        <v>0</v>
      </c>
      <c r="AM571" t="n">
        <v>0</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HYPERLINK("https://creighton-primo.hosted.exlibrisgroup.com/primo-explore/search?tab=default_tab&amp;search_scope=EVERYTHING&amp;vid=01CRU&amp;lang=en_US&amp;offset=0&amp;query=any,contains,991004780999702656","Catalog Record")</f>
        <v/>
      </c>
      <c r="AT571">
        <f>HYPERLINK("http://www.worldcat.org/oclc/41870928","WorldCat Record")</f>
        <v/>
      </c>
      <c r="AU571" t="inlineStr">
        <is>
          <t>5145559258:eng</t>
        </is>
      </c>
      <c r="AV571" t="inlineStr">
        <is>
          <t>41870928</t>
        </is>
      </c>
      <c r="AW571" t="inlineStr">
        <is>
          <t>991004780999702656</t>
        </is>
      </c>
      <c r="AX571" t="inlineStr">
        <is>
          <t>991004780999702656</t>
        </is>
      </c>
      <c r="AY571" t="inlineStr">
        <is>
          <t>2263997040002656</t>
        </is>
      </c>
      <c r="AZ571" t="inlineStr">
        <is>
          <t>BOOK</t>
        </is>
      </c>
      <c r="BB571" t="inlineStr">
        <is>
          <t>9780830822195</t>
        </is>
      </c>
      <c r="BC571" t="inlineStr">
        <is>
          <t>32285005188593</t>
        </is>
      </c>
      <c r="BD571" t="inlineStr">
        <is>
          <t>893612770</t>
        </is>
      </c>
    </row>
    <row r="572">
      <c r="A572" t="inlineStr">
        <is>
          <t>No</t>
        </is>
      </c>
      <c r="B572" t="inlineStr">
        <is>
          <t>BV4501.2 .K564 1995</t>
        </is>
      </c>
      <c r="C572" t="inlineStr">
        <is>
          <t>0                      BV 4501200K  564         1995</t>
        </is>
      </c>
      <c r="D572" t="inlineStr">
        <is>
          <t>Dark night spirituality : Thomas Merton, Dietrich Bonhoeffer, Etty Hillesum : contemplation and the new paradigm / Peter King.</t>
        </is>
      </c>
      <c r="F572" t="inlineStr">
        <is>
          <t>No</t>
        </is>
      </c>
      <c r="G572" t="inlineStr">
        <is>
          <t>1</t>
        </is>
      </c>
      <c r="H572" t="inlineStr">
        <is>
          <t>No</t>
        </is>
      </c>
      <c r="I572" t="inlineStr">
        <is>
          <t>No</t>
        </is>
      </c>
      <c r="J572" t="inlineStr">
        <is>
          <t>0</t>
        </is>
      </c>
      <c r="K572" t="inlineStr">
        <is>
          <t>King, Peter.</t>
        </is>
      </c>
      <c r="L572" t="inlineStr">
        <is>
          <t>London : SPCK, 1995.</t>
        </is>
      </c>
      <c r="M572" t="inlineStr">
        <is>
          <t>1995</t>
        </is>
      </c>
      <c r="O572" t="inlineStr">
        <is>
          <t>eng</t>
        </is>
      </c>
      <c r="P572" t="inlineStr">
        <is>
          <t>enk</t>
        </is>
      </c>
      <c r="R572" t="inlineStr">
        <is>
          <t xml:space="preserve">BV </t>
        </is>
      </c>
      <c r="S572" t="n">
        <v>1</v>
      </c>
      <c r="T572" t="n">
        <v>1</v>
      </c>
      <c r="U572" t="inlineStr">
        <is>
          <t>2007-07-16</t>
        </is>
      </c>
      <c r="V572" t="inlineStr">
        <is>
          <t>2007-07-16</t>
        </is>
      </c>
      <c r="W572" t="inlineStr">
        <is>
          <t>2007-07-16</t>
        </is>
      </c>
      <c r="X572" t="inlineStr">
        <is>
          <t>2007-07-16</t>
        </is>
      </c>
      <c r="Y572" t="n">
        <v>77</v>
      </c>
      <c r="Z572" t="n">
        <v>44</v>
      </c>
      <c r="AA572" t="n">
        <v>44</v>
      </c>
      <c r="AB572" t="n">
        <v>1</v>
      </c>
      <c r="AC572" t="n">
        <v>1</v>
      </c>
      <c r="AD572" t="n">
        <v>4</v>
      </c>
      <c r="AE572" t="n">
        <v>4</v>
      </c>
      <c r="AF572" t="n">
        <v>2</v>
      </c>
      <c r="AG572" t="n">
        <v>2</v>
      </c>
      <c r="AH572" t="n">
        <v>0</v>
      </c>
      <c r="AI572" t="n">
        <v>0</v>
      </c>
      <c r="AJ572" t="n">
        <v>3</v>
      </c>
      <c r="AK572" t="n">
        <v>3</v>
      </c>
      <c r="AL572" t="n">
        <v>0</v>
      </c>
      <c r="AM572" t="n">
        <v>0</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HYPERLINK("https://creighton-primo.hosted.exlibrisgroup.com/primo-explore/search?tab=default_tab&amp;search_scope=EVERYTHING&amp;vid=01CRU&amp;lang=en_US&amp;offset=0&amp;query=any,contains,991005018169702656","Catalog Record")</f>
        <v/>
      </c>
      <c r="AT572">
        <f>HYPERLINK("http://www.worldcat.org/oclc/33950060","WorldCat Record")</f>
        <v/>
      </c>
      <c r="AU572" t="inlineStr">
        <is>
          <t>197292092:eng</t>
        </is>
      </c>
      <c r="AV572" t="inlineStr">
        <is>
          <t>33950060</t>
        </is>
      </c>
      <c r="AW572" t="inlineStr">
        <is>
          <t>991005018169702656</t>
        </is>
      </c>
      <c r="AX572" t="inlineStr">
        <is>
          <t>991005018169702656</t>
        </is>
      </c>
      <c r="AY572" t="inlineStr">
        <is>
          <t>2267036640002656</t>
        </is>
      </c>
      <c r="AZ572" t="inlineStr">
        <is>
          <t>BOOK</t>
        </is>
      </c>
      <c r="BB572" t="inlineStr">
        <is>
          <t>9780281048847</t>
        </is>
      </c>
      <c r="BC572" t="inlineStr">
        <is>
          <t>32285005319404</t>
        </is>
      </c>
      <c r="BD572" t="inlineStr">
        <is>
          <t>893700924</t>
        </is>
      </c>
    </row>
    <row r="573">
      <c r="A573" t="inlineStr">
        <is>
          <t>No</t>
        </is>
      </c>
      <c r="B573" t="inlineStr">
        <is>
          <t>BV4501.2 .K57 1999</t>
        </is>
      </c>
      <c r="C573" t="inlineStr">
        <is>
          <t>0                      BV 4501200K  57          1999</t>
        </is>
      </c>
      <c r="D573" t="inlineStr">
        <is>
          <t>God hunger : discovering the mystic in all of us / John Kirvan.</t>
        </is>
      </c>
      <c r="F573" t="inlineStr">
        <is>
          <t>No</t>
        </is>
      </c>
      <c r="G573" t="inlineStr">
        <is>
          <t>1</t>
        </is>
      </c>
      <c r="H573" t="inlineStr">
        <is>
          <t>No</t>
        </is>
      </c>
      <c r="I573" t="inlineStr">
        <is>
          <t>No</t>
        </is>
      </c>
      <c r="J573" t="inlineStr">
        <is>
          <t>0</t>
        </is>
      </c>
      <c r="K573" t="inlineStr">
        <is>
          <t>Kirvan, John J.</t>
        </is>
      </c>
      <c r="L573" t="inlineStr">
        <is>
          <t>Notre Dame, Ind. : Sorin Books, c1999.</t>
        </is>
      </c>
      <c r="M573" t="inlineStr">
        <is>
          <t>1999</t>
        </is>
      </c>
      <c r="O573" t="inlineStr">
        <is>
          <t>eng</t>
        </is>
      </c>
      <c r="P573" t="inlineStr">
        <is>
          <t>inu</t>
        </is>
      </c>
      <c r="R573" t="inlineStr">
        <is>
          <t xml:space="preserve">BV </t>
        </is>
      </c>
      <c r="S573" t="n">
        <v>7</v>
      </c>
      <c r="T573" t="n">
        <v>7</v>
      </c>
      <c r="U573" t="inlineStr">
        <is>
          <t>2008-02-01</t>
        </is>
      </c>
      <c r="V573" t="inlineStr">
        <is>
          <t>2008-02-01</t>
        </is>
      </c>
      <c r="W573" t="inlineStr">
        <is>
          <t>1999-09-22</t>
        </is>
      </c>
      <c r="X573" t="inlineStr">
        <is>
          <t>1999-09-22</t>
        </is>
      </c>
      <c r="Y573" t="n">
        <v>106</v>
      </c>
      <c r="Z573" t="n">
        <v>98</v>
      </c>
      <c r="AA573" t="n">
        <v>103</v>
      </c>
      <c r="AB573" t="n">
        <v>2</v>
      </c>
      <c r="AC573" t="n">
        <v>2</v>
      </c>
      <c r="AD573" t="n">
        <v>7</v>
      </c>
      <c r="AE573" t="n">
        <v>7</v>
      </c>
      <c r="AF573" t="n">
        <v>2</v>
      </c>
      <c r="AG573" t="n">
        <v>2</v>
      </c>
      <c r="AH573" t="n">
        <v>2</v>
      </c>
      <c r="AI573" t="n">
        <v>2</v>
      </c>
      <c r="AJ573" t="n">
        <v>4</v>
      </c>
      <c r="AK573" t="n">
        <v>4</v>
      </c>
      <c r="AL573" t="n">
        <v>0</v>
      </c>
      <c r="AM573" t="n">
        <v>0</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HYPERLINK("https://creighton-primo.hosted.exlibrisgroup.com/primo-explore/search?tab=default_tab&amp;search_scope=EVERYTHING&amp;vid=01CRU&amp;lang=en_US&amp;offset=0&amp;query=any,contains,991003039829702656","Catalog Record")</f>
        <v/>
      </c>
      <c r="AT573">
        <f>HYPERLINK("http://www.worldcat.org/oclc/42019239","WorldCat Record")</f>
        <v/>
      </c>
      <c r="AU573" t="inlineStr">
        <is>
          <t>10143583659:eng</t>
        </is>
      </c>
      <c r="AV573" t="inlineStr">
        <is>
          <t>42019239</t>
        </is>
      </c>
      <c r="AW573" t="inlineStr">
        <is>
          <t>991003039829702656</t>
        </is>
      </c>
      <c r="AX573" t="inlineStr">
        <is>
          <t>991003039829702656</t>
        </is>
      </c>
      <c r="AY573" t="inlineStr">
        <is>
          <t>2270417070002656</t>
        </is>
      </c>
      <c r="AZ573" t="inlineStr">
        <is>
          <t>BOOK</t>
        </is>
      </c>
      <c r="BB573" t="inlineStr">
        <is>
          <t>9781893732032</t>
        </is>
      </c>
      <c r="BC573" t="inlineStr">
        <is>
          <t>32285003590303</t>
        </is>
      </c>
      <c r="BD573" t="inlineStr">
        <is>
          <t>893342178</t>
        </is>
      </c>
    </row>
    <row r="574">
      <c r="A574" t="inlineStr">
        <is>
          <t>No</t>
        </is>
      </c>
      <c r="B574" t="inlineStr">
        <is>
          <t>BV4501.2 .L597 1984</t>
        </is>
      </c>
      <c r="C574" t="inlineStr">
        <is>
          <t>0                      BV 4501200L  597         1984</t>
        </is>
      </c>
      <c r="D574" t="inlineStr">
        <is>
          <t>Living with Apocalypse : spiritual resources for social compassion / edited by Tilden H. Edwards.</t>
        </is>
      </c>
      <c r="F574" t="inlineStr">
        <is>
          <t>No</t>
        </is>
      </c>
      <c r="G574" t="inlineStr">
        <is>
          <t>1</t>
        </is>
      </c>
      <c r="H574" t="inlineStr">
        <is>
          <t>No</t>
        </is>
      </c>
      <c r="I574" t="inlineStr">
        <is>
          <t>No</t>
        </is>
      </c>
      <c r="J574" t="inlineStr">
        <is>
          <t>0</t>
        </is>
      </c>
      <c r="L574" t="inlineStr">
        <is>
          <t>San Francisco : Harper &amp; Row, c1984.</t>
        </is>
      </c>
      <c r="M574" t="inlineStr">
        <is>
          <t>1984</t>
        </is>
      </c>
      <c r="N574" t="inlineStr">
        <is>
          <t>1st ed.</t>
        </is>
      </c>
      <c r="O574" t="inlineStr">
        <is>
          <t>eng</t>
        </is>
      </c>
      <c r="P574" t="inlineStr">
        <is>
          <t>cau</t>
        </is>
      </c>
      <c r="R574" t="inlineStr">
        <is>
          <t xml:space="preserve">BV </t>
        </is>
      </c>
      <c r="S574" t="n">
        <v>6</v>
      </c>
      <c r="T574" t="n">
        <v>6</v>
      </c>
      <c r="U574" t="inlineStr">
        <is>
          <t>2010-09-15</t>
        </is>
      </c>
      <c r="V574" t="inlineStr">
        <is>
          <t>2010-09-15</t>
        </is>
      </c>
      <c r="W574" t="inlineStr">
        <is>
          <t>1992-02-26</t>
        </is>
      </c>
      <c r="X574" t="inlineStr">
        <is>
          <t>1992-02-26</t>
        </is>
      </c>
      <c r="Y574" t="n">
        <v>372</v>
      </c>
      <c r="Z574" t="n">
        <v>336</v>
      </c>
      <c r="AA574" t="n">
        <v>337</v>
      </c>
      <c r="AB574" t="n">
        <v>2</v>
      </c>
      <c r="AC574" t="n">
        <v>2</v>
      </c>
      <c r="AD574" t="n">
        <v>14</v>
      </c>
      <c r="AE574" t="n">
        <v>14</v>
      </c>
      <c r="AF574" t="n">
        <v>5</v>
      </c>
      <c r="AG574" t="n">
        <v>5</v>
      </c>
      <c r="AH574" t="n">
        <v>2</v>
      </c>
      <c r="AI574" t="n">
        <v>2</v>
      </c>
      <c r="AJ574" t="n">
        <v>11</v>
      </c>
      <c r="AK574" t="n">
        <v>11</v>
      </c>
      <c r="AL574" t="n">
        <v>0</v>
      </c>
      <c r="AM574" t="n">
        <v>0</v>
      </c>
      <c r="AN574" t="n">
        <v>0</v>
      </c>
      <c r="AO574" t="n">
        <v>0</v>
      </c>
      <c r="AP574" t="inlineStr">
        <is>
          <t>No</t>
        </is>
      </c>
      <c r="AQ574" t="inlineStr">
        <is>
          <t>Yes</t>
        </is>
      </c>
      <c r="AR574">
        <f>HYPERLINK("http://catalog.hathitrust.org/Record/000325884","HathiTrust Record")</f>
        <v/>
      </c>
      <c r="AS574">
        <f>HYPERLINK("https://creighton-primo.hosted.exlibrisgroup.com/primo-explore/search?tab=default_tab&amp;search_scope=EVERYTHING&amp;vid=01CRU&amp;lang=en_US&amp;offset=0&amp;query=any,contains,991000353629702656","Catalog Record")</f>
        <v/>
      </c>
      <c r="AT574">
        <f>HYPERLINK("http://www.worldcat.org/oclc/10322823","WorldCat Record")</f>
        <v/>
      </c>
      <c r="AU574" t="inlineStr">
        <is>
          <t>3275960:eng</t>
        </is>
      </c>
      <c r="AV574" t="inlineStr">
        <is>
          <t>10322823</t>
        </is>
      </c>
      <c r="AW574" t="inlineStr">
        <is>
          <t>991000353629702656</t>
        </is>
      </c>
      <c r="AX574" t="inlineStr">
        <is>
          <t>991000353629702656</t>
        </is>
      </c>
      <c r="AY574" t="inlineStr">
        <is>
          <t>2266919120002656</t>
        </is>
      </c>
      <c r="AZ574" t="inlineStr">
        <is>
          <t>BOOK</t>
        </is>
      </c>
      <c r="BB574" t="inlineStr">
        <is>
          <t>9780060621230</t>
        </is>
      </c>
      <c r="BC574" t="inlineStr">
        <is>
          <t>32285000966704</t>
        </is>
      </c>
      <c r="BD574" t="inlineStr">
        <is>
          <t>893527980</t>
        </is>
      </c>
    </row>
    <row r="575">
      <c r="A575" t="inlineStr">
        <is>
          <t>No</t>
        </is>
      </c>
      <c r="B575" t="inlineStr">
        <is>
          <t>BV4501.2 .L82 1991</t>
        </is>
      </c>
      <c r="C575" t="inlineStr">
        <is>
          <t>0                      BV 4501200L  82          1991</t>
        </is>
      </c>
      <c r="D575" t="inlineStr">
        <is>
          <t>In the eye of the storm / Max Lucado.</t>
        </is>
      </c>
      <c r="F575" t="inlineStr">
        <is>
          <t>No</t>
        </is>
      </c>
      <c r="G575" t="inlineStr">
        <is>
          <t>1</t>
        </is>
      </c>
      <c r="H575" t="inlineStr">
        <is>
          <t>No</t>
        </is>
      </c>
      <c r="I575" t="inlineStr">
        <is>
          <t>No</t>
        </is>
      </c>
      <c r="J575" t="inlineStr">
        <is>
          <t>0</t>
        </is>
      </c>
      <c r="K575" t="inlineStr">
        <is>
          <t>Lucado, Max.</t>
        </is>
      </c>
      <c r="L575" t="inlineStr">
        <is>
          <t>Dallas : Word, c1991.</t>
        </is>
      </c>
      <c r="M575" t="inlineStr">
        <is>
          <t>1991</t>
        </is>
      </c>
      <c r="O575" t="inlineStr">
        <is>
          <t>eng</t>
        </is>
      </c>
      <c r="P575" t="inlineStr">
        <is>
          <t>txu</t>
        </is>
      </c>
      <c r="R575" t="inlineStr">
        <is>
          <t xml:space="preserve">BV </t>
        </is>
      </c>
      <c r="S575" t="n">
        <v>3</v>
      </c>
      <c r="T575" t="n">
        <v>3</v>
      </c>
      <c r="U575" t="inlineStr">
        <is>
          <t>2009-08-24</t>
        </is>
      </c>
      <c r="V575" t="inlineStr">
        <is>
          <t>2009-08-24</t>
        </is>
      </c>
      <c r="W575" t="inlineStr">
        <is>
          <t>2001-09-17</t>
        </is>
      </c>
      <c r="X575" t="inlineStr">
        <is>
          <t>2001-09-17</t>
        </is>
      </c>
      <c r="Y575" t="n">
        <v>929</v>
      </c>
      <c r="Z575" t="n">
        <v>908</v>
      </c>
      <c r="AA575" t="n">
        <v>1090</v>
      </c>
      <c r="AB575" t="n">
        <v>16</v>
      </c>
      <c r="AC575" t="n">
        <v>16</v>
      </c>
      <c r="AD575" t="n">
        <v>6</v>
      </c>
      <c r="AE575" t="n">
        <v>6</v>
      </c>
      <c r="AF575" t="n">
        <v>4</v>
      </c>
      <c r="AG575" t="n">
        <v>4</v>
      </c>
      <c r="AH575" t="n">
        <v>0</v>
      </c>
      <c r="AI575" t="n">
        <v>0</v>
      </c>
      <c r="AJ575" t="n">
        <v>1</v>
      </c>
      <c r="AK575" t="n">
        <v>1</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HYPERLINK("https://creighton-primo.hosted.exlibrisgroup.com/primo-explore/search?tab=default_tab&amp;search_scope=EVERYTHING&amp;vid=01CRU&amp;lang=en_US&amp;offset=0&amp;query=any,contains,991003626439702656","Catalog Record")</f>
        <v/>
      </c>
      <c r="AT575">
        <f>HYPERLINK("http://www.worldcat.org/oclc/23901106","WorldCat Record")</f>
        <v/>
      </c>
      <c r="AU575" t="inlineStr">
        <is>
          <t>1151561819:eng</t>
        </is>
      </c>
      <c r="AV575" t="inlineStr">
        <is>
          <t>23901106</t>
        </is>
      </c>
      <c r="AW575" t="inlineStr">
        <is>
          <t>991003626439702656</t>
        </is>
      </c>
      <c r="AX575" t="inlineStr">
        <is>
          <t>991003626439702656</t>
        </is>
      </c>
      <c r="AY575" t="inlineStr">
        <is>
          <t>2262086950002656</t>
        </is>
      </c>
      <c r="AZ575" t="inlineStr">
        <is>
          <t>BOOK</t>
        </is>
      </c>
      <c r="BB575" t="inlineStr">
        <is>
          <t>9780849908903</t>
        </is>
      </c>
      <c r="BC575" t="inlineStr">
        <is>
          <t>32285004391719</t>
        </is>
      </c>
      <c r="BD575" t="inlineStr">
        <is>
          <t>893900191</t>
        </is>
      </c>
    </row>
    <row r="576">
      <c r="A576" t="inlineStr">
        <is>
          <t>No</t>
        </is>
      </c>
      <c r="B576" t="inlineStr">
        <is>
          <t>BV4501.2 .M22 1960</t>
        </is>
      </c>
      <c r="C576" t="inlineStr">
        <is>
          <t>0                      BV 4501200M  22          1960</t>
        </is>
      </c>
      <c r="D576" t="inlineStr">
        <is>
          <t>Putting faith to work / Robert J. McCracken.</t>
        </is>
      </c>
      <c r="F576" t="inlineStr">
        <is>
          <t>No</t>
        </is>
      </c>
      <c r="G576" t="inlineStr">
        <is>
          <t>1</t>
        </is>
      </c>
      <c r="H576" t="inlineStr">
        <is>
          <t>No</t>
        </is>
      </c>
      <c r="I576" t="inlineStr">
        <is>
          <t>No</t>
        </is>
      </c>
      <c r="J576" t="inlineStr">
        <is>
          <t>0</t>
        </is>
      </c>
      <c r="K576" t="inlineStr">
        <is>
          <t>McCracken, Robert J. (Robert James), 1904-1973.</t>
        </is>
      </c>
      <c r="L576" t="inlineStr">
        <is>
          <t>New York : Harper &amp; Brothers, c1960.</t>
        </is>
      </c>
      <c r="M576" t="inlineStr">
        <is>
          <t>1960</t>
        </is>
      </c>
      <c r="N576" t="inlineStr">
        <is>
          <t>1st ed.</t>
        </is>
      </c>
      <c r="O576" t="inlineStr">
        <is>
          <t>eng</t>
        </is>
      </c>
      <c r="P576" t="inlineStr">
        <is>
          <t>nyu</t>
        </is>
      </c>
      <c r="R576" t="inlineStr">
        <is>
          <t xml:space="preserve">BV </t>
        </is>
      </c>
      <c r="S576" t="n">
        <v>1</v>
      </c>
      <c r="T576" t="n">
        <v>1</v>
      </c>
      <c r="U576" t="inlineStr">
        <is>
          <t>2008-08-28</t>
        </is>
      </c>
      <c r="V576" t="inlineStr">
        <is>
          <t>2008-08-28</t>
        </is>
      </c>
      <c r="W576" t="inlineStr">
        <is>
          <t>2008-08-28</t>
        </is>
      </c>
      <c r="X576" t="inlineStr">
        <is>
          <t>2008-08-28</t>
        </is>
      </c>
      <c r="Y576" t="n">
        <v>261</v>
      </c>
      <c r="Z576" t="n">
        <v>239</v>
      </c>
      <c r="AA576" t="n">
        <v>311</v>
      </c>
      <c r="AB576" t="n">
        <v>2</v>
      </c>
      <c r="AC576" t="n">
        <v>2</v>
      </c>
      <c r="AD576" t="n">
        <v>5</v>
      </c>
      <c r="AE576" t="n">
        <v>8</v>
      </c>
      <c r="AF576" t="n">
        <v>5</v>
      </c>
      <c r="AG576" t="n">
        <v>5</v>
      </c>
      <c r="AH576" t="n">
        <v>0</v>
      </c>
      <c r="AI576" t="n">
        <v>1</v>
      </c>
      <c r="AJ576" t="n">
        <v>0</v>
      </c>
      <c r="AK576" t="n">
        <v>2</v>
      </c>
      <c r="AL576" t="n">
        <v>0</v>
      </c>
      <c r="AM576" t="n">
        <v>0</v>
      </c>
      <c r="AN576" t="n">
        <v>0</v>
      </c>
      <c r="AO576" t="n">
        <v>0</v>
      </c>
      <c r="AP576" t="inlineStr">
        <is>
          <t>No</t>
        </is>
      </c>
      <c r="AQ576" t="inlineStr">
        <is>
          <t>Yes</t>
        </is>
      </c>
      <c r="AR576">
        <f>HYPERLINK("http://catalog.hathitrust.org/Record/102045069","HathiTrust Record")</f>
        <v/>
      </c>
      <c r="AS576">
        <f>HYPERLINK("https://creighton-primo.hosted.exlibrisgroup.com/primo-explore/search?tab=default_tab&amp;search_scope=EVERYTHING&amp;vid=01CRU&amp;lang=en_US&amp;offset=0&amp;query=any,contains,991005261219702656","Catalog Record")</f>
        <v/>
      </c>
      <c r="AT576">
        <f>HYPERLINK("http://www.worldcat.org/oclc/2586700","WorldCat Record")</f>
        <v/>
      </c>
      <c r="AU576" t="inlineStr">
        <is>
          <t>5577203:eng</t>
        </is>
      </c>
      <c r="AV576" t="inlineStr">
        <is>
          <t>2586700</t>
        </is>
      </c>
      <c r="AW576" t="inlineStr">
        <is>
          <t>991005261219702656</t>
        </is>
      </c>
      <c r="AX576" t="inlineStr">
        <is>
          <t>991005261219702656</t>
        </is>
      </c>
      <c r="AY576" t="inlineStr">
        <is>
          <t>2264012290002656</t>
        </is>
      </c>
      <c r="AZ576" t="inlineStr">
        <is>
          <t>BOOK</t>
        </is>
      </c>
      <c r="BC576" t="inlineStr">
        <is>
          <t>32285005456677</t>
        </is>
      </c>
      <c r="BD576" t="inlineStr">
        <is>
          <t>893625729</t>
        </is>
      </c>
    </row>
    <row r="577">
      <c r="A577" t="inlineStr">
        <is>
          <t>No</t>
        </is>
      </c>
      <c r="B577" t="inlineStr">
        <is>
          <t>BV4501.2 .M2358 1999</t>
        </is>
      </c>
      <c r="C577" t="inlineStr">
        <is>
          <t>0                      BV 4501200M  2358        1999</t>
        </is>
      </c>
      <c r="D577" t="inlineStr">
        <is>
          <t>The unknown God : searching for spiritual fulfillment / Alister McGrath.</t>
        </is>
      </c>
      <c r="F577" t="inlineStr">
        <is>
          <t>No</t>
        </is>
      </c>
      <c r="G577" t="inlineStr">
        <is>
          <t>1</t>
        </is>
      </c>
      <c r="H577" t="inlineStr">
        <is>
          <t>No</t>
        </is>
      </c>
      <c r="I577" t="inlineStr">
        <is>
          <t>No</t>
        </is>
      </c>
      <c r="J577" t="inlineStr">
        <is>
          <t>0</t>
        </is>
      </c>
      <c r="K577" t="inlineStr">
        <is>
          <t>McGrath, Alister E., 1953-</t>
        </is>
      </c>
      <c r="L577" t="inlineStr">
        <is>
          <t>Grand Rapids, Mich. : Eerdmans Pub. Co., 1999.</t>
        </is>
      </c>
      <c r="M577" t="inlineStr">
        <is>
          <t>1999</t>
        </is>
      </c>
      <c r="O577" t="inlineStr">
        <is>
          <t>eng</t>
        </is>
      </c>
      <c r="P577" t="inlineStr">
        <is>
          <t>miu</t>
        </is>
      </c>
      <c r="R577" t="inlineStr">
        <is>
          <t xml:space="preserve">BV </t>
        </is>
      </c>
      <c r="S577" t="n">
        <v>6</v>
      </c>
      <c r="T577" t="n">
        <v>6</v>
      </c>
      <c r="U577" t="inlineStr">
        <is>
          <t>2010-04-24</t>
        </is>
      </c>
      <c r="V577" t="inlineStr">
        <is>
          <t>2010-04-24</t>
        </is>
      </c>
      <c r="W577" t="inlineStr">
        <is>
          <t>1999-11-09</t>
        </is>
      </c>
      <c r="X577" t="inlineStr">
        <is>
          <t>1999-11-09</t>
        </is>
      </c>
      <c r="Y577" t="n">
        <v>331</v>
      </c>
      <c r="Z577" t="n">
        <v>290</v>
      </c>
      <c r="AA577" t="n">
        <v>297</v>
      </c>
      <c r="AB577" t="n">
        <v>4</v>
      </c>
      <c r="AC577" t="n">
        <v>4</v>
      </c>
      <c r="AD577" t="n">
        <v>10</v>
      </c>
      <c r="AE577" t="n">
        <v>10</v>
      </c>
      <c r="AF577" t="n">
        <v>4</v>
      </c>
      <c r="AG577" t="n">
        <v>4</v>
      </c>
      <c r="AH577" t="n">
        <v>1</v>
      </c>
      <c r="AI577" t="n">
        <v>1</v>
      </c>
      <c r="AJ577" t="n">
        <v>3</v>
      </c>
      <c r="AK577" t="n">
        <v>3</v>
      </c>
      <c r="AL577" t="n">
        <v>2</v>
      </c>
      <c r="AM577" t="n">
        <v>2</v>
      </c>
      <c r="AN577" t="n">
        <v>0</v>
      </c>
      <c r="AO577" t="n">
        <v>0</v>
      </c>
      <c r="AP577" t="inlineStr">
        <is>
          <t>No</t>
        </is>
      </c>
      <c r="AQ577" t="inlineStr">
        <is>
          <t>Yes</t>
        </is>
      </c>
      <c r="AR577">
        <f>HYPERLINK("http://catalog.hathitrust.org/Record/004580814","HathiTrust Record")</f>
        <v/>
      </c>
      <c r="AS577">
        <f>HYPERLINK("https://creighton-primo.hosted.exlibrisgroup.com/primo-explore/search?tab=default_tab&amp;search_scope=EVERYTHING&amp;vid=01CRU&amp;lang=en_US&amp;offset=0&amp;query=any,contains,991003019699702656","Catalog Record")</f>
        <v/>
      </c>
      <c r="AT577">
        <f>HYPERLINK("http://www.worldcat.org/oclc/41115069","WorldCat Record")</f>
        <v/>
      </c>
      <c r="AU577" t="inlineStr">
        <is>
          <t>196821819:eng</t>
        </is>
      </c>
      <c r="AV577" t="inlineStr">
        <is>
          <t>41115069</t>
        </is>
      </c>
      <c r="AW577" t="inlineStr">
        <is>
          <t>991003019699702656</t>
        </is>
      </c>
      <c r="AX577" t="inlineStr">
        <is>
          <t>991003019699702656</t>
        </is>
      </c>
      <c r="AY577" t="inlineStr">
        <is>
          <t>2258269900002656</t>
        </is>
      </c>
      <c r="AZ577" t="inlineStr">
        <is>
          <t>BOOK</t>
        </is>
      </c>
      <c r="BB577" t="inlineStr">
        <is>
          <t>9780802838643</t>
        </is>
      </c>
      <c r="BC577" t="inlineStr">
        <is>
          <t>32285003619862</t>
        </is>
      </c>
      <c r="BD577" t="inlineStr">
        <is>
          <t>893329861</t>
        </is>
      </c>
    </row>
    <row r="578">
      <c r="A578" t="inlineStr">
        <is>
          <t>No</t>
        </is>
      </c>
      <c r="B578" t="inlineStr">
        <is>
          <t>BV4501.2 .M35</t>
        </is>
      </c>
      <c r="C578" t="inlineStr">
        <is>
          <t>0                      BV 4501200M  35</t>
        </is>
      </c>
      <c r="D578" t="inlineStr">
        <is>
          <t>Inscape : God at the heart of matter / by George A. Maloney. --</t>
        </is>
      </c>
      <c r="F578" t="inlineStr">
        <is>
          <t>No</t>
        </is>
      </c>
      <c r="G578" t="inlineStr">
        <is>
          <t>1</t>
        </is>
      </c>
      <c r="H578" t="inlineStr">
        <is>
          <t>No</t>
        </is>
      </c>
      <c r="I578" t="inlineStr">
        <is>
          <t>No</t>
        </is>
      </c>
      <c r="J578" t="inlineStr">
        <is>
          <t>0</t>
        </is>
      </c>
      <c r="K578" t="inlineStr">
        <is>
          <t>Maloney, George A., 1924-2005.</t>
        </is>
      </c>
      <c r="L578" t="inlineStr">
        <is>
          <t>Denville, New Jersey : Dimension, c1978.</t>
        </is>
      </c>
      <c r="M578" t="inlineStr">
        <is>
          <t>1978</t>
        </is>
      </c>
      <c r="O578" t="inlineStr">
        <is>
          <t>eng</t>
        </is>
      </c>
      <c r="P578" t="inlineStr">
        <is>
          <t>nju</t>
        </is>
      </c>
      <c r="R578" t="inlineStr">
        <is>
          <t xml:space="preserve">BV </t>
        </is>
      </c>
      <c r="S578" t="n">
        <v>1</v>
      </c>
      <c r="T578" t="n">
        <v>1</v>
      </c>
      <c r="U578" t="inlineStr">
        <is>
          <t>2000-06-26</t>
        </is>
      </c>
      <c r="V578" t="inlineStr">
        <is>
          <t>2000-06-26</t>
        </is>
      </c>
      <c r="W578" t="inlineStr">
        <is>
          <t>1992-02-26</t>
        </is>
      </c>
      <c r="X578" t="inlineStr">
        <is>
          <t>1992-02-26</t>
        </is>
      </c>
      <c r="Y578" t="n">
        <v>100</v>
      </c>
      <c r="Z578" t="n">
        <v>81</v>
      </c>
      <c r="AA578" t="n">
        <v>81</v>
      </c>
      <c r="AB578" t="n">
        <v>2</v>
      </c>
      <c r="AC578" t="n">
        <v>2</v>
      </c>
      <c r="AD578" t="n">
        <v>14</v>
      </c>
      <c r="AE578" t="n">
        <v>14</v>
      </c>
      <c r="AF578" t="n">
        <v>2</v>
      </c>
      <c r="AG578" t="n">
        <v>2</v>
      </c>
      <c r="AH578" t="n">
        <v>3</v>
      </c>
      <c r="AI578" t="n">
        <v>3</v>
      </c>
      <c r="AJ578" t="n">
        <v>12</v>
      </c>
      <c r="AK578" t="n">
        <v>12</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HYPERLINK("https://creighton-primo.hosted.exlibrisgroup.com/primo-explore/search?tab=default_tab&amp;search_scope=EVERYTHING&amp;vid=01CRU&amp;lang=en_US&amp;offset=0&amp;query=any,contains,991004560649702656","Catalog Record")</f>
        <v/>
      </c>
      <c r="AT578">
        <f>HYPERLINK("http://www.worldcat.org/oclc/25449516","WorldCat Record")</f>
        <v/>
      </c>
      <c r="AU578" t="inlineStr">
        <is>
          <t>787327602:eng</t>
        </is>
      </c>
      <c r="AV578" t="inlineStr">
        <is>
          <t>25449516</t>
        </is>
      </c>
      <c r="AW578" t="inlineStr">
        <is>
          <t>991004560649702656</t>
        </is>
      </c>
      <c r="AX578" t="inlineStr">
        <is>
          <t>991004560649702656</t>
        </is>
      </c>
      <c r="AY578" t="inlineStr">
        <is>
          <t>2265967450002656</t>
        </is>
      </c>
      <c r="AZ578" t="inlineStr">
        <is>
          <t>BOOK</t>
        </is>
      </c>
      <c r="BC578" t="inlineStr">
        <is>
          <t>32285000966720</t>
        </is>
      </c>
      <c r="BD578" t="inlineStr">
        <is>
          <t>893532539</t>
        </is>
      </c>
    </row>
    <row r="579">
      <c r="A579" t="inlineStr">
        <is>
          <t>No</t>
        </is>
      </c>
      <c r="B579" t="inlineStr">
        <is>
          <t>BV4501.2 .M418 1993</t>
        </is>
      </c>
      <c r="C579" t="inlineStr">
        <is>
          <t>0                      BV 4501200M  418         1993</t>
        </is>
      </c>
      <c r="D579" t="inlineStr">
        <is>
          <t>The awakened heart : opening yourself to the love you need / Gerald G. May.</t>
        </is>
      </c>
      <c r="F579" t="inlineStr">
        <is>
          <t>No</t>
        </is>
      </c>
      <c r="G579" t="inlineStr">
        <is>
          <t>1</t>
        </is>
      </c>
      <c r="H579" t="inlineStr">
        <is>
          <t>No</t>
        </is>
      </c>
      <c r="I579" t="inlineStr">
        <is>
          <t>No</t>
        </is>
      </c>
      <c r="J579" t="inlineStr">
        <is>
          <t>0</t>
        </is>
      </c>
      <c r="K579" t="inlineStr">
        <is>
          <t>May, Gerald G.</t>
        </is>
      </c>
      <c r="L579" t="inlineStr">
        <is>
          <t>[San Francisco, Calif.] : HarperSanFrancisco, 1993.</t>
        </is>
      </c>
      <c r="M579" t="inlineStr">
        <is>
          <t>1993</t>
        </is>
      </c>
      <c r="N579" t="inlineStr">
        <is>
          <t>1st HarperCollins pbk. ed.</t>
        </is>
      </c>
      <c r="O579" t="inlineStr">
        <is>
          <t>eng</t>
        </is>
      </c>
      <c r="P579" t="inlineStr">
        <is>
          <t>cau</t>
        </is>
      </c>
      <c r="R579" t="inlineStr">
        <is>
          <t xml:space="preserve">BV </t>
        </is>
      </c>
      <c r="S579" t="n">
        <v>2</v>
      </c>
      <c r="T579" t="n">
        <v>2</v>
      </c>
      <c r="U579" t="inlineStr">
        <is>
          <t>2008-07-11</t>
        </is>
      </c>
      <c r="V579" t="inlineStr">
        <is>
          <t>2008-07-11</t>
        </is>
      </c>
      <c r="W579" t="inlineStr">
        <is>
          <t>2002-08-12</t>
        </is>
      </c>
      <c r="X579" t="inlineStr">
        <is>
          <t>2002-08-12</t>
        </is>
      </c>
      <c r="Y579" t="n">
        <v>150</v>
      </c>
      <c r="Z579" t="n">
        <v>135</v>
      </c>
      <c r="AA579" t="n">
        <v>154</v>
      </c>
      <c r="AB579" t="n">
        <v>1</v>
      </c>
      <c r="AC579" t="n">
        <v>1</v>
      </c>
      <c r="AD579" t="n">
        <v>10</v>
      </c>
      <c r="AE579" t="n">
        <v>10</v>
      </c>
      <c r="AF579" t="n">
        <v>6</v>
      </c>
      <c r="AG579" t="n">
        <v>6</v>
      </c>
      <c r="AH579" t="n">
        <v>2</v>
      </c>
      <c r="AI579" t="n">
        <v>2</v>
      </c>
      <c r="AJ579" t="n">
        <v>6</v>
      </c>
      <c r="AK579" t="n">
        <v>6</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HYPERLINK("https://creighton-primo.hosted.exlibrisgroup.com/primo-explore/search?tab=default_tab&amp;search_scope=EVERYTHING&amp;vid=01CRU&amp;lang=en_US&amp;offset=0&amp;query=any,contains,991003854409702656","Catalog Record")</f>
        <v/>
      </c>
      <c r="AT579">
        <f>HYPERLINK("http://www.worldcat.org/oclc/26588538","WorldCat Record")</f>
        <v/>
      </c>
      <c r="AU579" t="inlineStr">
        <is>
          <t>29237569:eng</t>
        </is>
      </c>
      <c r="AV579" t="inlineStr">
        <is>
          <t>26588538</t>
        </is>
      </c>
      <c r="AW579" t="inlineStr">
        <is>
          <t>991003854409702656</t>
        </is>
      </c>
      <c r="AX579" t="inlineStr">
        <is>
          <t>991003854409702656</t>
        </is>
      </c>
      <c r="AY579" t="inlineStr">
        <is>
          <t>2266091690002656</t>
        </is>
      </c>
      <c r="AZ579" t="inlineStr">
        <is>
          <t>BOOK</t>
        </is>
      </c>
      <c r="BB579" t="inlineStr">
        <is>
          <t>9780060654733</t>
        </is>
      </c>
      <c r="BC579" t="inlineStr">
        <is>
          <t>32285004642780</t>
        </is>
      </c>
      <c r="BD579" t="inlineStr">
        <is>
          <t>893416881</t>
        </is>
      </c>
    </row>
    <row r="580">
      <c r="A580" t="inlineStr">
        <is>
          <t>No</t>
        </is>
      </c>
      <c r="B580" t="inlineStr">
        <is>
          <t>BV4501.2 .M42</t>
        </is>
      </c>
      <c r="C580" t="inlineStr">
        <is>
          <t>0                      BV 4501200M  42</t>
        </is>
      </c>
      <c r="D580" t="inlineStr">
        <is>
          <t>Pilgrimage home : the conduct of contemplative practice in groups / Gerald G. May.</t>
        </is>
      </c>
      <c r="F580" t="inlineStr">
        <is>
          <t>No</t>
        </is>
      </c>
      <c r="G580" t="inlineStr">
        <is>
          <t>1</t>
        </is>
      </c>
      <c r="H580" t="inlineStr">
        <is>
          <t>No</t>
        </is>
      </c>
      <c r="I580" t="inlineStr">
        <is>
          <t>No</t>
        </is>
      </c>
      <c r="J580" t="inlineStr">
        <is>
          <t>0</t>
        </is>
      </c>
      <c r="K580" t="inlineStr">
        <is>
          <t>May, Gerald G.</t>
        </is>
      </c>
      <c r="L580" t="inlineStr">
        <is>
          <t>New York : Paulist Press, c1979.</t>
        </is>
      </c>
      <c r="M580" t="inlineStr">
        <is>
          <t>1979</t>
        </is>
      </c>
      <c r="O580" t="inlineStr">
        <is>
          <t>eng</t>
        </is>
      </c>
      <c r="P580" t="inlineStr">
        <is>
          <t>nyu</t>
        </is>
      </c>
      <c r="R580" t="inlineStr">
        <is>
          <t xml:space="preserve">BV </t>
        </is>
      </c>
      <c r="S580" t="n">
        <v>6</v>
      </c>
      <c r="T580" t="n">
        <v>6</v>
      </c>
      <c r="U580" t="inlineStr">
        <is>
          <t>2003-09-08</t>
        </is>
      </c>
      <c r="V580" t="inlineStr">
        <is>
          <t>2003-09-08</t>
        </is>
      </c>
      <c r="W580" t="inlineStr">
        <is>
          <t>1992-02-26</t>
        </is>
      </c>
      <c r="X580" t="inlineStr">
        <is>
          <t>1992-02-26</t>
        </is>
      </c>
      <c r="Y580" t="n">
        <v>377</v>
      </c>
      <c r="Z580" t="n">
        <v>341</v>
      </c>
      <c r="AA580" t="n">
        <v>343</v>
      </c>
      <c r="AB580" t="n">
        <v>2</v>
      </c>
      <c r="AC580" t="n">
        <v>2</v>
      </c>
      <c r="AD580" t="n">
        <v>23</v>
      </c>
      <c r="AE580" t="n">
        <v>23</v>
      </c>
      <c r="AF580" t="n">
        <v>13</v>
      </c>
      <c r="AG580" t="n">
        <v>13</v>
      </c>
      <c r="AH580" t="n">
        <v>4</v>
      </c>
      <c r="AI580" t="n">
        <v>4</v>
      </c>
      <c r="AJ580" t="n">
        <v>12</v>
      </c>
      <c r="AK580" t="n">
        <v>12</v>
      </c>
      <c r="AL580" t="n">
        <v>1</v>
      </c>
      <c r="AM580" t="n">
        <v>1</v>
      </c>
      <c r="AN580" t="n">
        <v>0</v>
      </c>
      <c r="AO580" t="n">
        <v>0</v>
      </c>
      <c r="AP580" t="inlineStr">
        <is>
          <t>No</t>
        </is>
      </c>
      <c r="AQ580" t="inlineStr">
        <is>
          <t>Yes</t>
        </is>
      </c>
      <c r="AR580">
        <f>HYPERLINK("http://catalog.hathitrust.org/Record/000690179","HathiTrust Record")</f>
        <v/>
      </c>
      <c r="AS580">
        <f>HYPERLINK("https://creighton-primo.hosted.exlibrisgroup.com/primo-explore/search?tab=default_tab&amp;search_scope=EVERYTHING&amp;vid=01CRU&amp;lang=en_US&amp;offset=0&amp;query=any,contains,991004780029702656","Catalog Record")</f>
        <v/>
      </c>
      <c r="AT580">
        <f>HYPERLINK("http://www.worldcat.org/oclc/5103216","WorldCat Record")</f>
        <v/>
      </c>
      <c r="AU580" t="inlineStr">
        <is>
          <t>466162:eng</t>
        </is>
      </c>
      <c r="AV580" t="inlineStr">
        <is>
          <t>5103216</t>
        </is>
      </c>
      <c r="AW580" t="inlineStr">
        <is>
          <t>991004780029702656</t>
        </is>
      </c>
      <c r="AX580" t="inlineStr">
        <is>
          <t>991004780029702656</t>
        </is>
      </c>
      <c r="AY580" t="inlineStr">
        <is>
          <t>2270647610002656</t>
        </is>
      </c>
      <c r="AZ580" t="inlineStr">
        <is>
          <t>BOOK</t>
        </is>
      </c>
      <c r="BB580" t="inlineStr">
        <is>
          <t>9780809121434</t>
        </is>
      </c>
      <c r="BC580" t="inlineStr">
        <is>
          <t>32285000966753</t>
        </is>
      </c>
      <c r="BD580" t="inlineStr">
        <is>
          <t>893254086</t>
        </is>
      </c>
    </row>
    <row r="581">
      <c r="A581" t="inlineStr">
        <is>
          <t>No</t>
        </is>
      </c>
      <c r="B581" t="inlineStr">
        <is>
          <t>BV4501.2 .M478 1973</t>
        </is>
      </c>
      <c r="C581" t="inlineStr">
        <is>
          <t>0                      BV 4501200M  478         1973</t>
        </is>
      </c>
      <c r="D581" t="inlineStr">
        <is>
          <t>The becomers / Keith Miller.</t>
        </is>
      </c>
      <c r="F581" t="inlineStr">
        <is>
          <t>No</t>
        </is>
      </c>
      <c r="G581" t="inlineStr">
        <is>
          <t>1</t>
        </is>
      </c>
      <c r="H581" t="inlineStr">
        <is>
          <t>No</t>
        </is>
      </c>
      <c r="I581" t="inlineStr">
        <is>
          <t>No</t>
        </is>
      </c>
      <c r="J581" t="inlineStr">
        <is>
          <t>0</t>
        </is>
      </c>
      <c r="K581" t="inlineStr">
        <is>
          <t>Miller, Keith.</t>
        </is>
      </c>
      <c r="L581" t="inlineStr">
        <is>
          <t>Waco, Tex. : Word Books, [1973]</t>
        </is>
      </c>
      <c r="M581" t="inlineStr">
        <is>
          <t>1973</t>
        </is>
      </c>
      <c r="O581" t="inlineStr">
        <is>
          <t>eng</t>
        </is>
      </c>
      <c r="P581" t="inlineStr">
        <is>
          <t>txu</t>
        </is>
      </c>
      <c r="R581" t="inlineStr">
        <is>
          <t xml:space="preserve">BV </t>
        </is>
      </c>
      <c r="S581" t="n">
        <v>4</v>
      </c>
      <c r="T581" t="n">
        <v>4</v>
      </c>
      <c r="U581" t="inlineStr">
        <is>
          <t>1994-09-19</t>
        </is>
      </c>
      <c r="V581" t="inlineStr">
        <is>
          <t>1994-09-19</t>
        </is>
      </c>
      <c r="W581" t="inlineStr">
        <is>
          <t>1992-02-26</t>
        </is>
      </c>
      <c r="X581" t="inlineStr">
        <is>
          <t>1992-02-26</t>
        </is>
      </c>
      <c r="Y581" t="n">
        <v>473</v>
      </c>
      <c r="Z581" t="n">
        <v>445</v>
      </c>
      <c r="AA581" t="n">
        <v>470</v>
      </c>
      <c r="AB581" t="n">
        <v>3</v>
      </c>
      <c r="AC581" t="n">
        <v>3</v>
      </c>
      <c r="AD581" t="n">
        <v>10</v>
      </c>
      <c r="AE581" t="n">
        <v>10</v>
      </c>
      <c r="AF581" t="n">
        <v>6</v>
      </c>
      <c r="AG581" t="n">
        <v>6</v>
      </c>
      <c r="AH581" t="n">
        <v>1</v>
      </c>
      <c r="AI581" t="n">
        <v>1</v>
      </c>
      <c r="AJ581" t="n">
        <v>3</v>
      </c>
      <c r="AK581" t="n">
        <v>3</v>
      </c>
      <c r="AL581" t="n">
        <v>1</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HYPERLINK("https://creighton-primo.hosted.exlibrisgroup.com/primo-explore/search?tab=default_tab&amp;search_scope=EVERYTHING&amp;vid=01CRU&amp;lang=en_US&amp;offset=0&amp;query=any,contains,991003128639702656","Catalog Record")</f>
        <v/>
      </c>
      <c r="AT581">
        <f>HYPERLINK("http://www.worldcat.org/oclc/672029","WorldCat Record")</f>
        <v/>
      </c>
      <c r="AU581" t="inlineStr">
        <is>
          <t>1707402:eng</t>
        </is>
      </c>
      <c r="AV581" t="inlineStr">
        <is>
          <t>672029</t>
        </is>
      </c>
      <c r="AW581" t="inlineStr">
        <is>
          <t>991003128639702656</t>
        </is>
      </c>
      <c r="AX581" t="inlineStr">
        <is>
          <t>991003128639702656</t>
        </is>
      </c>
      <c r="AY581" t="inlineStr">
        <is>
          <t>2267892180002656</t>
        </is>
      </c>
      <c r="AZ581" t="inlineStr">
        <is>
          <t>BOOK</t>
        </is>
      </c>
      <c r="BC581" t="inlineStr">
        <is>
          <t>32285000966761</t>
        </is>
      </c>
      <c r="BD581" t="inlineStr">
        <is>
          <t>893348363</t>
        </is>
      </c>
    </row>
    <row r="582">
      <c r="A582" t="inlineStr">
        <is>
          <t>No</t>
        </is>
      </c>
      <c r="B582" t="inlineStr">
        <is>
          <t>BV4501.2 .M553 1987</t>
        </is>
      </c>
      <c r="C582" t="inlineStr">
        <is>
          <t>0                      BV 4501200M  553         1987</t>
        </is>
      </c>
      <c r="D582" t="inlineStr">
        <is>
          <t>Godding : human responsibility and the Bible / Virginia Ramey Mollenkott.</t>
        </is>
      </c>
      <c r="F582" t="inlineStr">
        <is>
          <t>No</t>
        </is>
      </c>
      <c r="G582" t="inlineStr">
        <is>
          <t>1</t>
        </is>
      </c>
      <c r="H582" t="inlineStr">
        <is>
          <t>No</t>
        </is>
      </c>
      <c r="I582" t="inlineStr">
        <is>
          <t>No</t>
        </is>
      </c>
      <c r="J582" t="inlineStr">
        <is>
          <t>0</t>
        </is>
      </c>
      <c r="K582" t="inlineStr">
        <is>
          <t>Mollenkott, Virginia R.</t>
        </is>
      </c>
      <c r="L582" t="inlineStr">
        <is>
          <t>New York : Crossroad, 1987.</t>
        </is>
      </c>
      <c r="M582" t="inlineStr">
        <is>
          <t>1987</t>
        </is>
      </c>
      <c r="O582" t="inlineStr">
        <is>
          <t>eng</t>
        </is>
      </c>
      <c r="P582" t="inlineStr">
        <is>
          <t>nyu</t>
        </is>
      </c>
      <c r="R582" t="inlineStr">
        <is>
          <t xml:space="preserve">BV </t>
        </is>
      </c>
      <c r="S582" t="n">
        <v>2</v>
      </c>
      <c r="T582" t="n">
        <v>2</v>
      </c>
      <c r="U582" t="inlineStr">
        <is>
          <t>1993-11-10</t>
        </is>
      </c>
      <c r="V582" t="inlineStr">
        <is>
          <t>1993-11-10</t>
        </is>
      </c>
      <c r="W582" t="inlineStr">
        <is>
          <t>1991-03-06</t>
        </is>
      </c>
      <c r="X582" t="inlineStr">
        <is>
          <t>1991-03-06</t>
        </is>
      </c>
      <c r="Y582" t="n">
        <v>317</v>
      </c>
      <c r="Z582" t="n">
        <v>275</v>
      </c>
      <c r="AA582" t="n">
        <v>307</v>
      </c>
      <c r="AB582" t="n">
        <v>3</v>
      </c>
      <c r="AC582" t="n">
        <v>3</v>
      </c>
      <c r="AD582" t="n">
        <v>17</v>
      </c>
      <c r="AE582" t="n">
        <v>18</v>
      </c>
      <c r="AF582" t="n">
        <v>6</v>
      </c>
      <c r="AG582" t="n">
        <v>7</v>
      </c>
      <c r="AH582" t="n">
        <v>2</v>
      </c>
      <c r="AI582" t="n">
        <v>2</v>
      </c>
      <c r="AJ582" t="n">
        <v>11</v>
      </c>
      <c r="AK582" t="n">
        <v>11</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HYPERLINK("https://creighton-primo.hosted.exlibrisgroup.com/primo-explore/search?tab=default_tab&amp;search_scope=EVERYTHING&amp;vid=01CRU&amp;lang=en_US&amp;offset=0&amp;query=any,contains,991000963679702656","Catalog Record")</f>
        <v/>
      </c>
      <c r="AT582">
        <f>HYPERLINK("http://www.worldcat.org/oclc/14904007","WorldCat Record")</f>
        <v/>
      </c>
      <c r="AU582" t="inlineStr">
        <is>
          <t>8166928:eng</t>
        </is>
      </c>
      <c r="AV582" t="inlineStr">
        <is>
          <t>14904007</t>
        </is>
      </c>
      <c r="AW582" t="inlineStr">
        <is>
          <t>991000963679702656</t>
        </is>
      </c>
      <c r="AX582" t="inlineStr">
        <is>
          <t>991000963679702656</t>
        </is>
      </c>
      <c r="AY582" t="inlineStr">
        <is>
          <t>2266841960002656</t>
        </is>
      </c>
      <c r="AZ582" t="inlineStr">
        <is>
          <t>BOOK</t>
        </is>
      </c>
      <c r="BB582" t="inlineStr">
        <is>
          <t>9780824508241</t>
        </is>
      </c>
      <c r="BC582" t="inlineStr">
        <is>
          <t>32285000535111</t>
        </is>
      </c>
      <c r="BD582" t="inlineStr">
        <is>
          <t>893865836</t>
        </is>
      </c>
    </row>
    <row r="583">
      <c r="A583" t="inlineStr">
        <is>
          <t>No</t>
        </is>
      </c>
      <c r="B583" t="inlineStr">
        <is>
          <t>BV4501.2 .M6 1985</t>
        </is>
      </c>
      <c r="C583" t="inlineStr">
        <is>
          <t>0                      BV 4501200M  6           1985</t>
        </is>
      </c>
      <c r="D583" t="inlineStr">
        <is>
          <t>Modern spirituality : an anthology / edited by John Garvey.</t>
        </is>
      </c>
      <c r="F583" t="inlineStr">
        <is>
          <t>No</t>
        </is>
      </c>
      <c r="G583" t="inlineStr">
        <is>
          <t>1</t>
        </is>
      </c>
      <c r="H583" t="inlineStr">
        <is>
          <t>No</t>
        </is>
      </c>
      <c r="I583" t="inlineStr">
        <is>
          <t>No</t>
        </is>
      </c>
      <c r="J583" t="inlineStr">
        <is>
          <t>0</t>
        </is>
      </c>
      <c r="L583" t="inlineStr">
        <is>
          <t>Springfield, Ill. : Templegate Publishers, 1985.</t>
        </is>
      </c>
      <c r="M583" t="inlineStr">
        <is>
          <t>1985</t>
        </is>
      </c>
      <c r="O583" t="inlineStr">
        <is>
          <t>eng</t>
        </is>
      </c>
      <c r="P583" t="inlineStr">
        <is>
          <t>ilu</t>
        </is>
      </c>
      <c r="R583" t="inlineStr">
        <is>
          <t xml:space="preserve">BV </t>
        </is>
      </c>
      <c r="S583" t="n">
        <v>3</v>
      </c>
      <c r="T583" t="n">
        <v>3</v>
      </c>
      <c r="U583" t="inlineStr">
        <is>
          <t>2001-06-12</t>
        </is>
      </c>
      <c r="V583" t="inlineStr">
        <is>
          <t>2001-06-12</t>
        </is>
      </c>
      <c r="W583" t="inlineStr">
        <is>
          <t>1992-02-26</t>
        </is>
      </c>
      <c r="X583" t="inlineStr">
        <is>
          <t>1992-02-26</t>
        </is>
      </c>
      <c r="Y583" t="n">
        <v>237</v>
      </c>
      <c r="Z583" t="n">
        <v>209</v>
      </c>
      <c r="AA583" t="n">
        <v>218</v>
      </c>
      <c r="AB583" t="n">
        <v>5</v>
      </c>
      <c r="AC583" t="n">
        <v>5</v>
      </c>
      <c r="AD583" t="n">
        <v>17</v>
      </c>
      <c r="AE583" t="n">
        <v>17</v>
      </c>
      <c r="AF583" t="n">
        <v>4</v>
      </c>
      <c r="AG583" t="n">
        <v>4</v>
      </c>
      <c r="AH583" t="n">
        <v>3</v>
      </c>
      <c r="AI583" t="n">
        <v>3</v>
      </c>
      <c r="AJ583" t="n">
        <v>11</v>
      </c>
      <c r="AK583" t="n">
        <v>11</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HYPERLINK("https://creighton-primo.hosted.exlibrisgroup.com/primo-explore/search?tab=default_tab&amp;search_scope=EVERYTHING&amp;vid=01CRU&amp;lang=en_US&amp;offset=0&amp;query=any,contains,991000577429702656","Catalog Record")</f>
        <v/>
      </c>
      <c r="AT583">
        <f>HYPERLINK("http://www.worldcat.org/oclc/11702886","WorldCat Record")</f>
        <v/>
      </c>
      <c r="AU583" t="inlineStr">
        <is>
          <t>836625410:eng</t>
        </is>
      </c>
      <c r="AV583" t="inlineStr">
        <is>
          <t>11702886</t>
        </is>
      </c>
      <c r="AW583" t="inlineStr">
        <is>
          <t>991000577429702656</t>
        </is>
      </c>
      <c r="AX583" t="inlineStr">
        <is>
          <t>991000577429702656</t>
        </is>
      </c>
      <c r="AY583" t="inlineStr">
        <is>
          <t>2264979830002656</t>
        </is>
      </c>
      <c r="AZ583" t="inlineStr">
        <is>
          <t>BOOK</t>
        </is>
      </c>
      <c r="BB583" t="inlineStr">
        <is>
          <t>9780872431324</t>
        </is>
      </c>
      <c r="BC583" t="inlineStr">
        <is>
          <t>32285000966779</t>
        </is>
      </c>
      <c r="BD583" t="inlineStr">
        <is>
          <t>893333594</t>
        </is>
      </c>
    </row>
    <row r="584">
      <c r="A584" t="inlineStr">
        <is>
          <t>No</t>
        </is>
      </c>
      <c r="B584" t="inlineStr">
        <is>
          <t>BV4501.2 .M76 1982</t>
        </is>
      </c>
      <c r="C584" t="inlineStr">
        <is>
          <t>0                      BV 4501200M  76          1982</t>
        </is>
      </c>
      <c r="D584" t="inlineStr">
        <is>
          <t>New Genesis : shaping a global spirituality / Robert Muller.</t>
        </is>
      </c>
      <c r="F584" t="inlineStr">
        <is>
          <t>No</t>
        </is>
      </c>
      <c r="G584" t="inlineStr">
        <is>
          <t>1</t>
        </is>
      </c>
      <c r="H584" t="inlineStr">
        <is>
          <t>No</t>
        </is>
      </c>
      <c r="I584" t="inlineStr">
        <is>
          <t>No</t>
        </is>
      </c>
      <c r="J584" t="inlineStr">
        <is>
          <t>0</t>
        </is>
      </c>
      <c r="K584" t="inlineStr">
        <is>
          <t>Muller, Robert.</t>
        </is>
      </c>
      <c r="L584" t="inlineStr">
        <is>
          <t>Garden City, N.Y. : Doubleday, 1982.</t>
        </is>
      </c>
      <c r="M584" t="inlineStr">
        <is>
          <t>1982</t>
        </is>
      </c>
      <c r="N584" t="inlineStr">
        <is>
          <t>1st ed.</t>
        </is>
      </c>
      <c r="O584" t="inlineStr">
        <is>
          <t>eng</t>
        </is>
      </c>
      <c r="P584" t="inlineStr">
        <is>
          <t>nyu</t>
        </is>
      </c>
      <c r="R584" t="inlineStr">
        <is>
          <t xml:space="preserve">BV </t>
        </is>
      </c>
      <c r="S584" t="n">
        <v>1</v>
      </c>
      <c r="T584" t="n">
        <v>1</v>
      </c>
      <c r="U584" t="inlineStr">
        <is>
          <t>1998-05-27</t>
        </is>
      </c>
      <c r="V584" t="inlineStr">
        <is>
          <t>1998-05-27</t>
        </is>
      </c>
      <c r="W584" t="inlineStr">
        <is>
          <t>1992-02-27</t>
        </is>
      </c>
      <c r="X584" t="inlineStr">
        <is>
          <t>1992-02-27</t>
        </is>
      </c>
      <c r="Y584" t="n">
        <v>335</v>
      </c>
      <c r="Z584" t="n">
        <v>302</v>
      </c>
      <c r="AA584" t="n">
        <v>369</v>
      </c>
      <c r="AB584" t="n">
        <v>2</v>
      </c>
      <c r="AC584" t="n">
        <v>2</v>
      </c>
      <c r="AD584" t="n">
        <v>16</v>
      </c>
      <c r="AE584" t="n">
        <v>22</v>
      </c>
      <c r="AF584" t="n">
        <v>4</v>
      </c>
      <c r="AG584" t="n">
        <v>7</v>
      </c>
      <c r="AH584" t="n">
        <v>4</v>
      </c>
      <c r="AI584" t="n">
        <v>6</v>
      </c>
      <c r="AJ584" t="n">
        <v>10</v>
      </c>
      <c r="AK584" t="n">
        <v>14</v>
      </c>
      <c r="AL584" t="n">
        <v>1</v>
      </c>
      <c r="AM584" t="n">
        <v>1</v>
      </c>
      <c r="AN584" t="n">
        <v>0</v>
      </c>
      <c r="AO584" t="n">
        <v>0</v>
      </c>
      <c r="AP584" t="inlineStr">
        <is>
          <t>No</t>
        </is>
      </c>
      <c r="AQ584" t="inlineStr">
        <is>
          <t>Yes</t>
        </is>
      </c>
      <c r="AR584">
        <f>HYPERLINK("http://catalog.hathitrust.org/Record/000271155","HathiTrust Record")</f>
        <v/>
      </c>
      <c r="AS584">
        <f>HYPERLINK("https://creighton-primo.hosted.exlibrisgroup.com/primo-explore/search?tab=default_tab&amp;search_scope=EVERYTHING&amp;vid=01CRU&amp;lang=en_US&amp;offset=0&amp;query=any,contains,991005220039702656","Catalog Record")</f>
        <v/>
      </c>
      <c r="AT584">
        <f>HYPERLINK("http://www.worldcat.org/oclc/8221196","WorldCat Record")</f>
        <v/>
      </c>
      <c r="AU584" t="inlineStr">
        <is>
          <t>2795469:eng</t>
        </is>
      </c>
      <c r="AV584" t="inlineStr">
        <is>
          <t>8221196</t>
        </is>
      </c>
      <c r="AW584" t="inlineStr">
        <is>
          <t>991005220039702656</t>
        </is>
      </c>
      <c r="AX584" t="inlineStr">
        <is>
          <t>991005220039702656</t>
        </is>
      </c>
      <c r="AY584" t="inlineStr">
        <is>
          <t>2268709890002656</t>
        </is>
      </c>
      <c r="AZ584" t="inlineStr">
        <is>
          <t>BOOK</t>
        </is>
      </c>
      <c r="BB584" t="inlineStr">
        <is>
          <t>9780385181235</t>
        </is>
      </c>
      <c r="BC584" t="inlineStr">
        <is>
          <t>32285000966795</t>
        </is>
      </c>
      <c r="BD584" t="inlineStr">
        <is>
          <t>893719999</t>
        </is>
      </c>
    </row>
    <row r="585">
      <c r="A585" t="inlineStr">
        <is>
          <t>No</t>
        </is>
      </c>
      <c r="B585" t="inlineStr">
        <is>
          <t>BV4501.2 .M86 1974</t>
        </is>
      </c>
      <c r="C585" t="inlineStr">
        <is>
          <t>0                      BV 4501200M  86          1974</t>
        </is>
      </c>
      <c r="D585" t="inlineStr">
        <is>
          <t>Abide in Christ : thoughts on the blessed life of fellowship with the Son of God / Andrew Murray.</t>
        </is>
      </c>
      <c r="F585" t="inlineStr">
        <is>
          <t>No</t>
        </is>
      </c>
      <c r="G585" t="inlineStr">
        <is>
          <t>1</t>
        </is>
      </c>
      <c r="H585" t="inlineStr">
        <is>
          <t>No</t>
        </is>
      </c>
      <c r="I585" t="inlineStr">
        <is>
          <t>No</t>
        </is>
      </c>
      <c r="J585" t="inlineStr">
        <is>
          <t>0</t>
        </is>
      </c>
      <c r="K585" t="inlineStr">
        <is>
          <t>Murray, Andrew, 1828-1917.</t>
        </is>
      </c>
      <c r="L585" t="inlineStr">
        <is>
          <t>Fort Washington, Pa. : Christian Literature Crusade, 1974</t>
        </is>
      </c>
      <c r="M585" t="inlineStr">
        <is>
          <t>1974</t>
        </is>
      </c>
      <c r="N585" t="inlineStr">
        <is>
          <t>1st American ed.</t>
        </is>
      </c>
      <c r="O585" t="inlineStr">
        <is>
          <t>eng</t>
        </is>
      </c>
      <c r="P585" t="inlineStr">
        <is>
          <t>pau</t>
        </is>
      </c>
      <c r="R585" t="inlineStr">
        <is>
          <t xml:space="preserve">BV </t>
        </is>
      </c>
      <c r="S585" t="n">
        <v>1</v>
      </c>
      <c r="T585" t="n">
        <v>1</v>
      </c>
      <c r="U585" t="inlineStr">
        <is>
          <t>2006-09-14</t>
        </is>
      </c>
      <c r="V585" t="inlineStr">
        <is>
          <t>2006-09-14</t>
        </is>
      </c>
      <c r="W585" t="inlineStr">
        <is>
          <t>2006-09-14</t>
        </is>
      </c>
      <c r="X585" t="inlineStr">
        <is>
          <t>2006-09-14</t>
        </is>
      </c>
      <c r="Y585" t="n">
        <v>20</v>
      </c>
      <c r="Z585" t="n">
        <v>18</v>
      </c>
      <c r="AA585" t="n">
        <v>239</v>
      </c>
      <c r="AB585" t="n">
        <v>1</v>
      </c>
      <c r="AC585" t="n">
        <v>3</v>
      </c>
      <c r="AD585" t="n">
        <v>0</v>
      </c>
      <c r="AE585" t="n">
        <v>8</v>
      </c>
      <c r="AF585" t="n">
        <v>0</v>
      </c>
      <c r="AG585" t="n">
        <v>5</v>
      </c>
      <c r="AH585" t="n">
        <v>0</v>
      </c>
      <c r="AI585" t="n">
        <v>1</v>
      </c>
      <c r="AJ585" t="n">
        <v>0</v>
      </c>
      <c r="AK585" t="n">
        <v>1</v>
      </c>
      <c r="AL585" t="n">
        <v>0</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HYPERLINK("https://creighton-primo.hosted.exlibrisgroup.com/primo-explore/search?tab=default_tab&amp;search_scope=EVERYTHING&amp;vid=01CRU&amp;lang=en_US&amp;offset=0&amp;query=any,contains,991004920409702656","Catalog Record")</f>
        <v/>
      </c>
      <c r="AT585">
        <f>HYPERLINK("http://www.worldcat.org/oclc/28552535","WorldCat Record")</f>
        <v/>
      </c>
      <c r="AU585" t="inlineStr">
        <is>
          <t>3927301242:eng</t>
        </is>
      </c>
      <c r="AV585" t="inlineStr">
        <is>
          <t>28552535</t>
        </is>
      </c>
      <c r="AW585" t="inlineStr">
        <is>
          <t>991004920409702656</t>
        </is>
      </c>
      <c r="AX585" t="inlineStr">
        <is>
          <t>991004920409702656</t>
        </is>
      </c>
      <c r="AY585" t="inlineStr">
        <is>
          <t>2269722300002656</t>
        </is>
      </c>
      <c r="AZ585" t="inlineStr">
        <is>
          <t>BOOK</t>
        </is>
      </c>
      <c r="BB585" t="inlineStr">
        <is>
          <t>9780875083704</t>
        </is>
      </c>
      <c r="BC585" t="inlineStr">
        <is>
          <t>32285005223721</t>
        </is>
      </c>
      <c r="BD585" t="inlineStr">
        <is>
          <t>893332175</t>
        </is>
      </c>
    </row>
    <row r="586">
      <c r="A586" t="inlineStr">
        <is>
          <t>No</t>
        </is>
      </c>
      <c r="B586" t="inlineStr">
        <is>
          <t>BV4501.2 .N63 1998</t>
        </is>
      </c>
      <c r="C586" t="inlineStr">
        <is>
          <t>0                      BV 4501200N  63          1998</t>
        </is>
      </c>
      <c r="D586" t="inlineStr">
        <is>
          <t>Amazing grace : a vocabulary of faith / Kathleen Norris.</t>
        </is>
      </c>
      <c r="F586" t="inlineStr">
        <is>
          <t>No</t>
        </is>
      </c>
      <c r="G586" t="inlineStr">
        <is>
          <t>1</t>
        </is>
      </c>
      <c r="H586" t="inlineStr">
        <is>
          <t>No</t>
        </is>
      </c>
      <c r="I586" t="inlineStr">
        <is>
          <t>No</t>
        </is>
      </c>
      <c r="J586" t="inlineStr">
        <is>
          <t>0</t>
        </is>
      </c>
      <c r="K586" t="inlineStr">
        <is>
          <t>Norris, Kathleen, 1947-</t>
        </is>
      </c>
      <c r="L586" t="inlineStr">
        <is>
          <t>New York : Riverhead Books, 1998.</t>
        </is>
      </c>
      <c r="M586" t="inlineStr">
        <is>
          <t>1998</t>
        </is>
      </c>
      <c r="O586" t="inlineStr">
        <is>
          <t>eng</t>
        </is>
      </c>
      <c r="P586" t="inlineStr">
        <is>
          <t>nyu</t>
        </is>
      </c>
      <c r="R586" t="inlineStr">
        <is>
          <t xml:space="preserve">BV </t>
        </is>
      </c>
      <c r="S586" t="n">
        <v>7</v>
      </c>
      <c r="T586" t="n">
        <v>7</v>
      </c>
      <c r="U586" t="inlineStr">
        <is>
          <t>2007-06-11</t>
        </is>
      </c>
      <c r="V586" t="inlineStr">
        <is>
          <t>2007-06-11</t>
        </is>
      </c>
      <c r="W586" t="inlineStr">
        <is>
          <t>1998-06-16</t>
        </is>
      </c>
      <c r="X586" t="inlineStr">
        <is>
          <t>1998-06-16</t>
        </is>
      </c>
      <c r="Y586" t="n">
        <v>1651</v>
      </c>
      <c r="Z586" t="n">
        <v>1579</v>
      </c>
      <c r="AA586" t="n">
        <v>1903</v>
      </c>
      <c r="AB586" t="n">
        <v>16</v>
      </c>
      <c r="AC586" t="n">
        <v>19</v>
      </c>
      <c r="AD586" t="n">
        <v>39</v>
      </c>
      <c r="AE586" t="n">
        <v>42</v>
      </c>
      <c r="AF586" t="n">
        <v>15</v>
      </c>
      <c r="AG586" t="n">
        <v>17</v>
      </c>
      <c r="AH586" t="n">
        <v>7</v>
      </c>
      <c r="AI586" t="n">
        <v>8</v>
      </c>
      <c r="AJ586" t="n">
        <v>18</v>
      </c>
      <c r="AK586" t="n">
        <v>20</v>
      </c>
      <c r="AL586" t="n">
        <v>6</v>
      </c>
      <c r="AM586" t="n">
        <v>6</v>
      </c>
      <c r="AN586" t="n">
        <v>0</v>
      </c>
      <c r="AO586" t="n">
        <v>0</v>
      </c>
      <c r="AP586" t="inlineStr">
        <is>
          <t>No</t>
        </is>
      </c>
      <c r="AQ586" t="inlineStr">
        <is>
          <t>Yes</t>
        </is>
      </c>
      <c r="AR586">
        <f>HYPERLINK("http://catalog.hathitrust.org/Record/003969935","HathiTrust Record")</f>
        <v/>
      </c>
      <c r="AS586">
        <f>HYPERLINK("https://creighton-primo.hosted.exlibrisgroup.com/primo-explore/search?tab=default_tab&amp;search_scope=EVERYTHING&amp;vid=01CRU&amp;lang=en_US&amp;offset=0&amp;query=any,contains,991002878809702656","Catalog Record")</f>
        <v/>
      </c>
      <c r="AT586">
        <f>HYPERLINK("http://www.worldcat.org/oclc/37935174","WorldCat Record")</f>
        <v/>
      </c>
      <c r="AU586" t="inlineStr">
        <is>
          <t>685507:eng</t>
        </is>
      </c>
      <c r="AV586" t="inlineStr">
        <is>
          <t>37935174</t>
        </is>
      </c>
      <c r="AW586" t="inlineStr">
        <is>
          <t>991002878809702656</t>
        </is>
      </c>
      <c r="AX586" t="inlineStr">
        <is>
          <t>991002878809702656</t>
        </is>
      </c>
      <c r="AY586" t="inlineStr">
        <is>
          <t>2266206950002656</t>
        </is>
      </c>
      <c r="AZ586" t="inlineStr">
        <is>
          <t>BOOK</t>
        </is>
      </c>
      <c r="BB586" t="inlineStr">
        <is>
          <t>9781573220781</t>
        </is>
      </c>
      <c r="BC586" t="inlineStr">
        <is>
          <t>32285003421020</t>
        </is>
      </c>
      <c r="BD586" t="inlineStr">
        <is>
          <t>893717032</t>
        </is>
      </c>
    </row>
    <row r="587">
      <c r="A587" t="inlineStr">
        <is>
          <t>No</t>
        </is>
      </c>
      <c r="B587" t="inlineStr">
        <is>
          <t>BV4501.2 .P323 1983</t>
        </is>
      </c>
      <c r="C587" t="inlineStr">
        <is>
          <t>0                      BV 4501200P  323         1983</t>
        </is>
      </c>
      <c r="D587" t="inlineStr">
        <is>
          <t>Christian spirituality / Wolfhart Pannenberg.</t>
        </is>
      </c>
      <c r="F587" t="inlineStr">
        <is>
          <t>No</t>
        </is>
      </c>
      <c r="G587" t="inlineStr">
        <is>
          <t>1</t>
        </is>
      </c>
      <c r="H587" t="inlineStr">
        <is>
          <t>No</t>
        </is>
      </c>
      <c r="I587" t="inlineStr">
        <is>
          <t>Yes</t>
        </is>
      </c>
      <c r="J587" t="inlineStr">
        <is>
          <t>0</t>
        </is>
      </c>
      <c r="K587" t="inlineStr">
        <is>
          <t>Pannenberg, Wolfhart, 1928-2014.</t>
        </is>
      </c>
      <c r="L587" t="inlineStr">
        <is>
          <t>Philadelphia : Westminster Press, c1983.</t>
        </is>
      </c>
      <c r="M587" t="inlineStr">
        <is>
          <t>1983</t>
        </is>
      </c>
      <c r="N587" t="inlineStr">
        <is>
          <t>1st ed.</t>
        </is>
      </c>
      <c r="O587" t="inlineStr">
        <is>
          <t>eng</t>
        </is>
      </c>
      <c r="P587" t="inlineStr">
        <is>
          <t>pau</t>
        </is>
      </c>
      <c r="R587" t="inlineStr">
        <is>
          <t xml:space="preserve">BV </t>
        </is>
      </c>
      <c r="S587" t="n">
        <v>6</v>
      </c>
      <c r="T587" t="n">
        <v>6</v>
      </c>
      <c r="U587" t="inlineStr">
        <is>
          <t>2006-05-03</t>
        </is>
      </c>
      <c r="V587" t="inlineStr">
        <is>
          <t>2006-05-03</t>
        </is>
      </c>
      <c r="W587" t="inlineStr">
        <is>
          <t>1992-02-27</t>
        </is>
      </c>
      <c r="X587" t="inlineStr">
        <is>
          <t>1992-02-27</t>
        </is>
      </c>
      <c r="Y587" t="n">
        <v>475</v>
      </c>
      <c r="Z587" t="n">
        <v>419</v>
      </c>
      <c r="AA587" t="n">
        <v>427</v>
      </c>
      <c r="AB587" t="n">
        <v>1</v>
      </c>
      <c r="AC587" t="n">
        <v>1</v>
      </c>
      <c r="AD587" t="n">
        <v>28</v>
      </c>
      <c r="AE587" t="n">
        <v>28</v>
      </c>
      <c r="AF587" t="n">
        <v>11</v>
      </c>
      <c r="AG587" t="n">
        <v>11</v>
      </c>
      <c r="AH587" t="n">
        <v>7</v>
      </c>
      <c r="AI587" t="n">
        <v>7</v>
      </c>
      <c r="AJ587" t="n">
        <v>20</v>
      </c>
      <c r="AK587" t="n">
        <v>20</v>
      </c>
      <c r="AL587" t="n">
        <v>0</v>
      </c>
      <c r="AM587" t="n">
        <v>0</v>
      </c>
      <c r="AN587" t="n">
        <v>0</v>
      </c>
      <c r="AO587" t="n">
        <v>0</v>
      </c>
      <c r="AP587" t="inlineStr">
        <is>
          <t>No</t>
        </is>
      </c>
      <c r="AQ587" t="inlineStr">
        <is>
          <t>Yes</t>
        </is>
      </c>
      <c r="AR587">
        <f>HYPERLINK("http://catalog.hathitrust.org/Record/000245703","HathiTrust Record")</f>
        <v/>
      </c>
      <c r="AS587">
        <f>HYPERLINK("https://creighton-primo.hosted.exlibrisgroup.com/primo-explore/search?tab=default_tab&amp;search_scope=EVERYTHING&amp;vid=01CRU&amp;lang=en_US&amp;offset=0&amp;query=any,contains,991000292609702656","Catalog Record")</f>
        <v/>
      </c>
      <c r="AT587">
        <f>HYPERLINK("http://www.worldcat.org/oclc/9970527","WorldCat Record")</f>
        <v/>
      </c>
      <c r="AU587" t="inlineStr">
        <is>
          <t>138101082:eng</t>
        </is>
      </c>
      <c r="AV587" t="inlineStr">
        <is>
          <t>9970527</t>
        </is>
      </c>
      <c r="AW587" t="inlineStr">
        <is>
          <t>991000292609702656</t>
        </is>
      </c>
      <c r="AX587" t="inlineStr">
        <is>
          <t>991000292609702656</t>
        </is>
      </c>
      <c r="AY587" t="inlineStr">
        <is>
          <t>2254914470002656</t>
        </is>
      </c>
      <c r="AZ587" t="inlineStr">
        <is>
          <t>BOOK</t>
        </is>
      </c>
      <c r="BB587" t="inlineStr">
        <is>
          <t>9780664244958</t>
        </is>
      </c>
      <c r="BC587" t="inlineStr">
        <is>
          <t>32285000966829</t>
        </is>
      </c>
      <c r="BD587" t="inlineStr">
        <is>
          <t>893890562</t>
        </is>
      </c>
    </row>
    <row r="588">
      <c r="A588" t="inlineStr">
        <is>
          <t>No</t>
        </is>
      </c>
      <c r="B588" t="inlineStr">
        <is>
          <t>BV4501.2 .P3232 1984</t>
        </is>
      </c>
      <c r="C588" t="inlineStr">
        <is>
          <t>0                      BV 4501200P  3232        1984</t>
        </is>
      </c>
      <c r="D588" t="inlineStr">
        <is>
          <t>Christian spirituality and sacramental community / Wolfhart Pannenberg.</t>
        </is>
      </c>
      <c r="F588" t="inlineStr">
        <is>
          <t>No</t>
        </is>
      </c>
      <c r="G588" t="inlineStr">
        <is>
          <t>1</t>
        </is>
      </c>
      <c r="H588" t="inlineStr">
        <is>
          <t>No</t>
        </is>
      </c>
      <c r="I588" t="inlineStr">
        <is>
          <t>Yes</t>
        </is>
      </c>
      <c r="J588" t="inlineStr">
        <is>
          <t>0</t>
        </is>
      </c>
      <c r="K588" t="inlineStr">
        <is>
          <t>Pannenberg, Wolfhart, 1928-2014.</t>
        </is>
      </c>
      <c r="L588" t="inlineStr">
        <is>
          <t>London : Darton, Longman and Todd, 1984, c1983.</t>
        </is>
      </c>
      <c r="M588" t="inlineStr">
        <is>
          <t>1983</t>
        </is>
      </c>
      <c r="O588" t="inlineStr">
        <is>
          <t>eng</t>
        </is>
      </c>
      <c r="P588" t="inlineStr">
        <is>
          <t>enk</t>
        </is>
      </c>
      <c r="R588" t="inlineStr">
        <is>
          <t xml:space="preserve">BV </t>
        </is>
      </c>
      <c r="S588" t="n">
        <v>4</v>
      </c>
      <c r="T588" t="n">
        <v>4</v>
      </c>
      <c r="U588" t="inlineStr">
        <is>
          <t>2009-04-20</t>
        </is>
      </c>
      <c r="V588" t="inlineStr">
        <is>
          <t>2009-04-20</t>
        </is>
      </c>
      <c r="W588" t="inlineStr">
        <is>
          <t>1992-02-27</t>
        </is>
      </c>
      <c r="X588" t="inlineStr">
        <is>
          <t>1992-02-27</t>
        </is>
      </c>
      <c r="Y588" t="n">
        <v>71</v>
      </c>
      <c r="Z588" t="n">
        <v>14</v>
      </c>
      <c r="AA588" t="n">
        <v>427</v>
      </c>
      <c r="AB588" t="n">
        <v>1</v>
      </c>
      <c r="AC588" t="n">
        <v>1</v>
      </c>
      <c r="AD588" t="n">
        <v>0</v>
      </c>
      <c r="AE588" t="n">
        <v>28</v>
      </c>
      <c r="AF588" t="n">
        <v>0</v>
      </c>
      <c r="AG588" t="n">
        <v>11</v>
      </c>
      <c r="AH588" t="n">
        <v>0</v>
      </c>
      <c r="AI588" t="n">
        <v>7</v>
      </c>
      <c r="AJ588" t="n">
        <v>0</v>
      </c>
      <c r="AK588" t="n">
        <v>20</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HYPERLINK("https://creighton-primo.hosted.exlibrisgroup.com/primo-explore/search?tab=default_tab&amp;search_scope=EVERYTHING&amp;vid=01CRU&amp;lang=en_US&amp;offset=0&amp;query=any,contains,991000540329702656","Catalog Record")</f>
        <v/>
      </c>
      <c r="AT588">
        <f>HYPERLINK("http://www.worldcat.org/oclc/11474806","WorldCat Record")</f>
        <v/>
      </c>
      <c r="AU588" t="inlineStr">
        <is>
          <t>138101082:eng</t>
        </is>
      </c>
      <c r="AV588" t="inlineStr">
        <is>
          <t>11474806</t>
        </is>
      </c>
      <c r="AW588" t="inlineStr">
        <is>
          <t>991000540329702656</t>
        </is>
      </c>
      <c r="AX588" t="inlineStr">
        <is>
          <t>991000540329702656</t>
        </is>
      </c>
      <c r="AY588" t="inlineStr">
        <is>
          <t>2267043620002656</t>
        </is>
      </c>
      <c r="AZ588" t="inlineStr">
        <is>
          <t>BOOK</t>
        </is>
      </c>
      <c r="BB588" t="inlineStr">
        <is>
          <t>9780232516197</t>
        </is>
      </c>
      <c r="BC588" t="inlineStr">
        <is>
          <t>32285000966837</t>
        </is>
      </c>
      <c r="BD588" t="inlineStr">
        <is>
          <t>893784313</t>
        </is>
      </c>
    </row>
    <row r="589">
      <c r="A589" t="inlineStr">
        <is>
          <t>No</t>
        </is>
      </c>
      <c r="B589" t="inlineStr">
        <is>
          <t>BV4501.2 .P552 1985</t>
        </is>
      </c>
      <c r="C589" t="inlineStr">
        <is>
          <t>0                      BV 4501200P  552         1985</t>
        </is>
      </c>
      <c r="D589" t="inlineStr">
        <is>
          <t>Wellness spirituality / John J. Pilch.</t>
        </is>
      </c>
      <c r="F589" t="inlineStr">
        <is>
          <t>No</t>
        </is>
      </c>
      <c r="G589" t="inlineStr">
        <is>
          <t>1</t>
        </is>
      </c>
      <c r="H589" t="inlineStr">
        <is>
          <t>No</t>
        </is>
      </c>
      <c r="I589" t="inlineStr">
        <is>
          <t>No</t>
        </is>
      </c>
      <c r="J589" t="inlineStr">
        <is>
          <t>0</t>
        </is>
      </c>
      <c r="K589" t="inlineStr">
        <is>
          <t>Pilch, John J.</t>
        </is>
      </c>
      <c r="L589" t="inlineStr">
        <is>
          <t>New York : Crossroad, 1985.</t>
        </is>
      </c>
      <c r="M589" t="inlineStr">
        <is>
          <t>1985</t>
        </is>
      </c>
      <c r="O589" t="inlineStr">
        <is>
          <t>eng</t>
        </is>
      </c>
      <c r="P589" t="inlineStr">
        <is>
          <t>nyu</t>
        </is>
      </c>
      <c r="R589" t="inlineStr">
        <is>
          <t xml:space="preserve">BV </t>
        </is>
      </c>
      <c r="S589" t="n">
        <v>2</v>
      </c>
      <c r="T589" t="n">
        <v>2</v>
      </c>
      <c r="U589" t="inlineStr">
        <is>
          <t>2008-07-23</t>
        </is>
      </c>
      <c r="V589" t="inlineStr">
        <is>
          <t>2008-07-23</t>
        </is>
      </c>
      <c r="W589" t="inlineStr">
        <is>
          <t>2005-04-13</t>
        </is>
      </c>
      <c r="X589" t="inlineStr">
        <is>
          <t>2005-04-13</t>
        </is>
      </c>
      <c r="Y589" t="n">
        <v>100</v>
      </c>
      <c r="Z589" t="n">
        <v>92</v>
      </c>
      <c r="AA589" t="n">
        <v>108</v>
      </c>
      <c r="AB589" t="n">
        <v>1</v>
      </c>
      <c r="AC589" t="n">
        <v>2</v>
      </c>
      <c r="AD589" t="n">
        <v>8</v>
      </c>
      <c r="AE589" t="n">
        <v>10</v>
      </c>
      <c r="AF589" t="n">
        <v>2</v>
      </c>
      <c r="AG589" t="n">
        <v>3</v>
      </c>
      <c r="AH589" t="n">
        <v>2</v>
      </c>
      <c r="AI589" t="n">
        <v>3</v>
      </c>
      <c r="AJ589" t="n">
        <v>5</v>
      </c>
      <c r="AK589" t="n">
        <v>5</v>
      </c>
      <c r="AL589" t="n">
        <v>0</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HYPERLINK("https://creighton-primo.hosted.exlibrisgroup.com/primo-explore/search?tab=default_tab&amp;search_scope=EVERYTHING&amp;vid=01CRU&amp;lang=en_US&amp;offset=0&amp;query=any,contains,991004528899702656","Catalog Record")</f>
        <v/>
      </c>
      <c r="AT589">
        <f>HYPERLINK("http://www.worldcat.org/oclc/11973241","WorldCat Record")</f>
        <v/>
      </c>
      <c r="AU589" t="inlineStr">
        <is>
          <t>4536963:eng</t>
        </is>
      </c>
      <c r="AV589" t="inlineStr">
        <is>
          <t>11973241</t>
        </is>
      </c>
      <c r="AW589" t="inlineStr">
        <is>
          <t>991004528899702656</t>
        </is>
      </c>
      <c r="AX589" t="inlineStr">
        <is>
          <t>991004528899702656</t>
        </is>
      </c>
      <c r="AY589" t="inlineStr">
        <is>
          <t>2256190000002656</t>
        </is>
      </c>
      <c r="AZ589" t="inlineStr">
        <is>
          <t>BOOK</t>
        </is>
      </c>
      <c r="BB589" t="inlineStr">
        <is>
          <t>9780824507107</t>
        </is>
      </c>
      <c r="BC589" t="inlineStr">
        <is>
          <t>32285005030555</t>
        </is>
      </c>
      <c r="BD589" t="inlineStr">
        <is>
          <t>893532506</t>
        </is>
      </c>
    </row>
    <row r="590">
      <c r="A590" t="inlineStr">
        <is>
          <t>No</t>
        </is>
      </c>
      <c r="B590" t="inlineStr">
        <is>
          <t>BV4501.2 .P5547</t>
        </is>
      </c>
      <c r="C590" t="inlineStr">
        <is>
          <t>0                      BV 4501200P  5547</t>
        </is>
      </c>
      <c r="D590" t="inlineStr">
        <is>
          <t>Life in Christ / by Norman Pittenger.</t>
        </is>
      </c>
      <c r="F590" t="inlineStr">
        <is>
          <t>No</t>
        </is>
      </c>
      <c r="G590" t="inlineStr">
        <is>
          <t>1</t>
        </is>
      </c>
      <c r="H590" t="inlineStr">
        <is>
          <t>No</t>
        </is>
      </c>
      <c r="I590" t="inlineStr">
        <is>
          <t>No</t>
        </is>
      </c>
      <c r="J590" t="inlineStr">
        <is>
          <t>0</t>
        </is>
      </c>
      <c r="K590" t="inlineStr">
        <is>
          <t>Pittenger, W. Norman (William Norman), 1905-1997.</t>
        </is>
      </c>
      <c r="L590" t="inlineStr">
        <is>
          <t>Grand Rapids : Eerdmans, [1972]</t>
        </is>
      </c>
      <c r="M590" t="inlineStr">
        <is>
          <t>1972</t>
        </is>
      </c>
      <c r="O590" t="inlineStr">
        <is>
          <t>eng</t>
        </is>
      </c>
      <c r="P590" t="inlineStr">
        <is>
          <t>miu</t>
        </is>
      </c>
      <c r="R590" t="inlineStr">
        <is>
          <t xml:space="preserve">BV </t>
        </is>
      </c>
      <c r="S590" t="n">
        <v>1</v>
      </c>
      <c r="T590" t="n">
        <v>1</v>
      </c>
      <c r="U590" t="inlineStr">
        <is>
          <t>1997-04-14</t>
        </is>
      </c>
      <c r="V590" t="inlineStr">
        <is>
          <t>1997-04-14</t>
        </is>
      </c>
      <c r="W590" t="inlineStr">
        <is>
          <t>1992-03-06</t>
        </is>
      </c>
      <c r="X590" t="inlineStr">
        <is>
          <t>1992-03-06</t>
        </is>
      </c>
      <c r="Y590" t="n">
        <v>207</v>
      </c>
      <c r="Z590" t="n">
        <v>177</v>
      </c>
      <c r="AA590" t="n">
        <v>177</v>
      </c>
      <c r="AB590" t="n">
        <v>1</v>
      </c>
      <c r="AC590" t="n">
        <v>1</v>
      </c>
      <c r="AD590" t="n">
        <v>9</v>
      </c>
      <c r="AE590" t="n">
        <v>9</v>
      </c>
      <c r="AF590" t="n">
        <v>5</v>
      </c>
      <c r="AG590" t="n">
        <v>5</v>
      </c>
      <c r="AH590" t="n">
        <v>0</v>
      </c>
      <c r="AI590" t="n">
        <v>0</v>
      </c>
      <c r="AJ590" t="n">
        <v>7</v>
      </c>
      <c r="AK590" t="n">
        <v>7</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HYPERLINK("https://creighton-primo.hosted.exlibrisgroup.com/primo-explore/search?tab=default_tab&amp;search_scope=EVERYTHING&amp;vid=01CRU&amp;lang=en_US&amp;offset=0&amp;query=any,contains,991002839639702656","Catalog Record")</f>
        <v/>
      </c>
      <c r="AT590">
        <f>HYPERLINK("http://www.worldcat.org/oclc/481370","WorldCat Record")</f>
        <v/>
      </c>
      <c r="AU590" t="inlineStr">
        <is>
          <t>9146606062:eng</t>
        </is>
      </c>
      <c r="AV590" t="inlineStr">
        <is>
          <t>481370</t>
        </is>
      </c>
      <c r="AW590" t="inlineStr">
        <is>
          <t>991002839639702656</t>
        </is>
      </c>
      <c r="AX590" t="inlineStr">
        <is>
          <t>991002839639702656</t>
        </is>
      </c>
      <c r="AY590" t="inlineStr">
        <is>
          <t>2269571800002656</t>
        </is>
      </c>
      <c r="AZ590" t="inlineStr">
        <is>
          <t>BOOK</t>
        </is>
      </c>
      <c r="BB590" t="inlineStr">
        <is>
          <t>9780802814548</t>
        </is>
      </c>
      <c r="BC590" t="inlineStr">
        <is>
          <t>32285000938489</t>
        </is>
      </c>
      <c r="BD590" t="inlineStr">
        <is>
          <t>893591847</t>
        </is>
      </c>
    </row>
    <row r="591">
      <c r="A591" t="inlineStr">
        <is>
          <t>No</t>
        </is>
      </c>
      <c r="B591" t="inlineStr">
        <is>
          <t>BV4501.2 .P64 1997</t>
        </is>
      </c>
      <c r="C591" t="inlineStr">
        <is>
          <t>0                      BV 4501200P  64          1997</t>
        </is>
      </c>
      <c r="D591" t="inlineStr">
        <is>
          <t>Practicing our faith : a way of life for a searching people / Dorothy C. Bass, editor ... [et al.].</t>
        </is>
      </c>
      <c r="F591" t="inlineStr">
        <is>
          <t>No</t>
        </is>
      </c>
      <c r="G591" t="inlineStr">
        <is>
          <t>1</t>
        </is>
      </c>
      <c r="H591" t="inlineStr">
        <is>
          <t>No</t>
        </is>
      </c>
      <c r="I591" t="inlineStr">
        <is>
          <t>No</t>
        </is>
      </c>
      <c r="J591" t="inlineStr">
        <is>
          <t>0</t>
        </is>
      </c>
      <c r="L591" t="inlineStr">
        <is>
          <t>San Francisco : Jossey-Bass, c1997.</t>
        </is>
      </c>
      <c r="M591" t="inlineStr">
        <is>
          <t>1997</t>
        </is>
      </c>
      <c r="N591" t="inlineStr">
        <is>
          <t>1st ed.</t>
        </is>
      </c>
      <c r="R591" t="inlineStr">
        <is>
          <t xml:space="preserve">BV </t>
        </is>
      </c>
      <c r="S591" t="n">
        <v>3</v>
      </c>
      <c r="T591" t="n">
        <v>3</v>
      </c>
      <c r="U591" t="inlineStr">
        <is>
          <t>2010-09-15</t>
        </is>
      </c>
      <c r="V591" t="inlineStr">
        <is>
          <t>2010-09-15</t>
        </is>
      </c>
      <c r="W591" t="inlineStr">
        <is>
          <t>2005-04-28</t>
        </is>
      </c>
      <c r="X591" t="inlineStr">
        <is>
          <t>2005-04-28</t>
        </is>
      </c>
      <c r="Y591" t="n">
        <v>78</v>
      </c>
      <c r="Z591" t="n">
        <v>69</v>
      </c>
      <c r="AA591" t="n">
        <v>1190</v>
      </c>
      <c r="AB591" t="n">
        <v>1</v>
      </c>
      <c r="AC591" t="n">
        <v>4</v>
      </c>
      <c r="AD591" t="n">
        <v>0</v>
      </c>
      <c r="AE591" t="n">
        <v>30</v>
      </c>
      <c r="AF591" t="n">
        <v>0</v>
      </c>
      <c r="AG591" t="n">
        <v>16</v>
      </c>
      <c r="AH591" t="n">
        <v>0</v>
      </c>
      <c r="AI591" t="n">
        <v>6</v>
      </c>
      <c r="AJ591" t="n">
        <v>0</v>
      </c>
      <c r="AK591" t="n">
        <v>15</v>
      </c>
      <c r="AL591" t="n">
        <v>0</v>
      </c>
      <c r="AM591" t="n">
        <v>3</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HYPERLINK("https://creighton-primo.hosted.exlibrisgroup.com/primo-explore/search?tab=default_tab&amp;search_scope=EVERYTHING&amp;vid=01CRU&amp;lang=en_US&amp;offset=0&amp;query=any,contains,991004517319702656","Catalog Record")</f>
        <v/>
      </c>
      <c r="AT591">
        <f>HYPERLINK("http://www.worldcat.org/oclc/38587028","WorldCat Record")</f>
        <v/>
      </c>
      <c r="AU591" t="inlineStr">
        <is>
          <t>797282542:eng</t>
        </is>
      </c>
      <c r="AV591" t="inlineStr">
        <is>
          <t>38587028</t>
        </is>
      </c>
      <c r="AW591" t="inlineStr">
        <is>
          <t>991004517319702656</t>
        </is>
      </c>
      <c r="AX591" t="inlineStr">
        <is>
          <t>991004517319702656</t>
        </is>
      </c>
      <c r="AY591" t="inlineStr">
        <is>
          <t>2260413170002656</t>
        </is>
      </c>
      <c r="AZ591" t="inlineStr">
        <is>
          <t>BOOK</t>
        </is>
      </c>
      <c r="BB591" t="inlineStr">
        <is>
          <t>9780787938833</t>
        </is>
      </c>
      <c r="BC591" t="inlineStr">
        <is>
          <t>32285005034045</t>
        </is>
      </c>
      <c r="BD591" t="inlineStr">
        <is>
          <t>893343933</t>
        </is>
      </c>
    </row>
    <row r="592">
      <c r="A592" t="inlineStr">
        <is>
          <t>No</t>
        </is>
      </c>
      <c r="B592" t="inlineStr">
        <is>
          <t>BV4501.2 .R44</t>
        </is>
      </c>
      <c r="C592" t="inlineStr">
        <is>
          <t>0                      BV 4501200R  44</t>
        </is>
      </c>
      <c r="D592" t="inlineStr">
        <is>
          <t>Research on religious development : a comprehensive handbook. A project of the Religious Education Association / edited by Merton P. Strommen.</t>
        </is>
      </c>
      <c r="F592" t="inlineStr">
        <is>
          <t>No</t>
        </is>
      </c>
      <c r="G592" t="inlineStr">
        <is>
          <t>1</t>
        </is>
      </c>
      <c r="H592" t="inlineStr">
        <is>
          <t>No</t>
        </is>
      </c>
      <c r="I592" t="inlineStr">
        <is>
          <t>No</t>
        </is>
      </c>
      <c r="J592" t="inlineStr">
        <is>
          <t>0</t>
        </is>
      </c>
      <c r="K592" t="inlineStr">
        <is>
          <t>Strommen, Merton P.</t>
        </is>
      </c>
      <c r="L592" t="inlineStr">
        <is>
          <t>New York, Hawthorn Books [1971]</t>
        </is>
      </c>
      <c r="M592" t="inlineStr">
        <is>
          <t>1971</t>
        </is>
      </c>
      <c r="O592" t="inlineStr">
        <is>
          <t>eng</t>
        </is>
      </c>
      <c r="P592" t="inlineStr">
        <is>
          <t>nyu</t>
        </is>
      </c>
      <c r="R592" t="inlineStr">
        <is>
          <t xml:space="preserve">BV </t>
        </is>
      </c>
      <c r="S592" t="n">
        <v>3</v>
      </c>
      <c r="T592" t="n">
        <v>3</v>
      </c>
      <c r="U592" t="inlineStr">
        <is>
          <t>1995-02-23</t>
        </is>
      </c>
      <c r="V592" t="inlineStr">
        <is>
          <t>1995-02-23</t>
        </is>
      </c>
      <c r="W592" t="inlineStr">
        <is>
          <t>1990-03-28</t>
        </is>
      </c>
      <c r="X592" t="inlineStr">
        <is>
          <t>1990-03-28</t>
        </is>
      </c>
      <c r="Y592" t="n">
        <v>518</v>
      </c>
      <c r="Z592" t="n">
        <v>455</v>
      </c>
      <c r="AA592" t="n">
        <v>461</v>
      </c>
      <c r="AB592" t="n">
        <v>5</v>
      </c>
      <c r="AC592" t="n">
        <v>5</v>
      </c>
      <c r="AD592" t="n">
        <v>36</v>
      </c>
      <c r="AE592" t="n">
        <v>36</v>
      </c>
      <c r="AF592" t="n">
        <v>14</v>
      </c>
      <c r="AG592" t="n">
        <v>14</v>
      </c>
      <c r="AH592" t="n">
        <v>7</v>
      </c>
      <c r="AI592" t="n">
        <v>7</v>
      </c>
      <c r="AJ592" t="n">
        <v>21</v>
      </c>
      <c r="AK592" t="n">
        <v>21</v>
      </c>
      <c r="AL592" t="n">
        <v>4</v>
      </c>
      <c r="AM592" t="n">
        <v>4</v>
      </c>
      <c r="AN592" t="n">
        <v>0</v>
      </c>
      <c r="AO592" t="n">
        <v>0</v>
      </c>
      <c r="AP592" t="inlineStr">
        <is>
          <t>No</t>
        </is>
      </c>
      <c r="AQ592" t="inlineStr">
        <is>
          <t>Yes</t>
        </is>
      </c>
      <c r="AR592">
        <f>HYPERLINK("http://catalog.hathitrust.org/Record/001413611","HathiTrust Record")</f>
        <v/>
      </c>
      <c r="AS592">
        <f>HYPERLINK("https://creighton-primo.hosted.exlibrisgroup.com/primo-explore/search?tab=default_tab&amp;search_scope=EVERYTHING&amp;vid=01CRU&amp;lang=en_US&amp;offset=0&amp;query=any,contains,991000885399702656","Catalog Record")</f>
        <v/>
      </c>
      <c r="AT592">
        <f>HYPERLINK("http://www.worldcat.org/oclc/152762","WorldCat Record")</f>
        <v/>
      </c>
      <c r="AU592" t="inlineStr">
        <is>
          <t>1176904:eng</t>
        </is>
      </c>
      <c r="AV592" t="inlineStr">
        <is>
          <t>152762</t>
        </is>
      </c>
      <c r="AW592" t="inlineStr">
        <is>
          <t>991000885399702656</t>
        </is>
      </c>
      <c r="AX592" t="inlineStr">
        <is>
          <t>991000885399702656</t>
        </is>
      </c>
      <c r="AY592" t="inlineStr">
        <is>
          <t>2271793200002656</t>
        </is>
      </c>
      <c r="AZ592" t="inlineStr">
        <is>
          <t>BOOK</t>
        </is>
      </c>
      <c r="BC592" t="inlineStr">
        <is>
          <t>32285000099258</t>
        </is>
      </c>
      <c r="BD592" t="inlineStr">
        <is>
          <t>893327675</t>
        </is>
      </c>
    </row>
    <row r="593">
      <c r="A593" t="inlineStr">
        <is>
          <t>No</t>
        </is>
      </c>
      <c r="B593" t="inlineStr">
        <is>
          <t>BV4501.2 .R5 1987</t>
        </is>
      </c>
      <c r="C593" t="inlineStr">
        <is>
          <t>0                      BV 4501200R  5           1987</t>
        </is>
      </c>
      <c r="D593" t="inlineStr">
        <is>
          <t>Drawn to the divine : a spirituality of revelation / William E. Reiser.</t>
        </is>
      </c>
      <c r="F593" t="inlineStr">
        <is>
          <t>No</t>
        </is>
      </c>
      <c r="G593" t="inlineStr">
        <is>
          <t>1</t>
        </is>
      </c>
      <c r="H593" t="inlineStr">
        <is>
          <t>No</t>
        </is>
      </c>
      <c r="I593" t="inlineStr">
        <is>
          <t>No</t>
        </is>
      </c>
      <c r="J593" t="inlineStr">
        <is>
          <t>0</t>
        </is>
      </c>
      <c r="K593" t="inlineStr">
        <is>
          <t>Reiser, William E.</t>
        </is>
      </c>
      <c r="L593" t="inlineStr">
        <is>
          <t>Notre Dame, Ind. : Ave Maria Press, c1987.</t>
        </is>
      </c>
      <c r="M593" t="inlineStr">
        <is>
          <t>1987</t>
        </is>
      </c>
      <c r="O593" t="inlineStr">
        <is>
          <t>eng</t>
        </is>
      </c>
      <c r="P593" t="inlineStr">
        <is>
          <t>inu</t>
        </is>
      </c>
      <c r="R593" t="inlineStr">
        <is>
          <t xml:space="preserve">BV </t>
        </is>
      </c>
      <c r="S593" t="n">
        <v>4</v>
      </c>
      <c r="T593" t="n">
        <v>4</v>
      </c>
      <c r="U593" t="inlineStr">
        <is>
          <t>1997-03-17</t>
        </is>
      </c>
      <c r="V593" t="inlineStr">
        <is>
          <t>1997-03-17</t>
        </is>
      </c>
      <c r="W593" t="inlineStr">
        <is>
          <t>1990-05-25</t>
        </is>
      </c>
      <c r="X593" t="inlineStr">
        <is>
          <t>1990-05-25</t>
        </is>
      </c>
      <c r="Y593" t="n">
        <v>144</v>
      </c>
      <c r="Z593" t="n">
        <v>120</v>
      </c>
      <c r="AA593" t="n">
        <v>125</v>
      </c>
      <c r="AB593" t="n">
        <v>2</v>
      </c>
      <c r="AC593" t="n">
        <v>2</v>
      </c>
      <c r="AD593" t="n">
        <v>11</v>
      </c>
      <c r="AE593" t="n">
        <v>11</v>
      </c>
      <c r="AF593" t="n">
        <v>5</v>
      </c>
      <c r="AG593" t="n">
        <v>5</v>
      </c>
      <c r="AH593" t="n">
        <v>2</v>
      </c>
      <c r="AI593" t="n">
        <v>2</v>
      </c>
      <c r="AJ593" t="n">
        <v>10</v>
      </c>
      <c r="AK593" t="n">
        <v>10</v>
      </c>
      <c r="AL593" t="n">
        <v>0</v>
      </c>
      <c r="AM593" t="n">
        <v>0</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HYPERLINK("https://creighton-primo.hosted.exlibrisgroup.com/primo-explore/search?tab=default_tab&amp;search_scope=EVERYTHING&amp;vid=01CRU&amp;lang=en_US&amp;offset=0&amp;query=any,contains,991001168839702656","Catalog Record")</f>
        <v/>
      </c>
      <c r="AT593">
        <f>HYPERLINK("http://www.worldcat.org/oclc/16940431","WorldCat Record")</f>
        <v/>
      </c>
      <c r="AU593" t="inlineStr">
        <is>
          <t>13976101:eng</t>
        </is>
      </c>
      <c r="AV593" t="inlineStr">
        <is>
          <t>16940431</t>
        </is>
      </c>
      <c r="AW593" t="inlineStr">
        <is>
          <t>991001168839702656</t>
        </is>
      </c>
      <c r="AX593" t="inlineStr">
        <is>
          <t>991001168839702656</t>
        </is>
      </c>
      <c r="AY593" t="inlineStr">
        <is>
          <t>2272719500002656</t>
        </is>
      </c>
      <c r="AZ593" t="inlineStr">
        <is>
          <t>BOOK</t>
        </is>
      </c>
      <c r="BC593" t="inlineStr">
        <is>
          <t>32285000167063</t>
        </is>
      </c>
      <c r="BD593" t="inlineStr">
        <is>
          <t>893878680</t>
        </is>
      </c>
    </row>
    <row r="594">
      <c r="A594" t="inlineStr">
        <is>
          <t>No</t>
        </is>
      </c>
      <c r="B594" t="inlineStr">
        <is>
          <t>BV4501.2 .R617</t>
        </is>
      </c>
      <c r="C594" t="inlineStr">
        <is>
          <t>0                      BV 4501200R  617</t>
        </is>
      </c>
      <c r="D594" t="inlineStr">
        <is>
          <t>The difference in being a Christian today / by John A. T. Robinson.</t>
        </is>
      </c>
      <c r="F594" t="inlineStr">
        <is>
          <t>No</t>
        </is>
      </c>
      <c r="G594" t="inlineStr">
        <is>
          <t>1</t>
        </is>
      </c>
      <c r="H594" t="inlineStr">
        <is>
          <t>No</t>
        </is>
      </c>
      <c r="I594" t="inlineStr">
        <is>
          <t>No</t>
        </is>
      </c>
      <c r="J594" t="inlineStr">
        <is>
          <t>0</t>
        </is>
      </c>
      <c r="K594" t="inlineStr">
        <is>
          <t>Robinson, John A. T. (John Arthur Thomas), 1919-1983.</t>
        </is>
      </c>
      <c r="L594" t="inlineStr">
        <is>
          <t>Philadelphia, Westminster Press [1972]</t>
        </is>
      </c>
      <c r="M594" t="inlineStr">
        <is>
          <t>1972</t>
        </is>
      </c>
      <c r="O594" t="inlineStr">
        <is>
          <t>eng</t>
        </is>
      </c>
      <c r="P594" t="inlineStr">
        <is>
          <t>pau</t>
        </is>
      </c>
      <c r="R594" t="inlineStr">
        <is>
          <t xml:space="preserve">BV </t>
        </is>
      </c>
      <c r="S594" t="n">
        <v>2</v>
      </c>
      <c r="T594" t="n">
        <v>2</v>
      </c>
      <c r="U594" t="inlineStr">
        <is>
          <t>1993-09-29</t>
        </is>
      </c>
      <c r="V594" t="inlineStr">
        <is>
          <t>1993-09-29</t>
        </is>
      </c>
      <c r="W594" t="inlineStr">
        <is>
          <t>1992-02-27</t>
        </is>
      </c>
      <c r="X594" t="inlineStr">
        <is>
          <t>1992-02-27</t>
        </is>
      </c>
      <c r="Y594" t="n">
        <v>251</v>
      </c>
      <c r="Z594" t="n">
        <v>226</v>
      </c>
      <c r="AA594" t="n">
        <v>248</v>
      </c>
      <c r="AB594" t="n">
        <v>4</v>
      </c>
      <c r="AC594" t="n">
        <v>4</v>
      </c>
      <c r="AD594" t="n">
        <v>17</v>
      </c>
      <c r="AE594" t="n">
        <v>18</v>
      </c>
      <c r="AF594" t="n">
        <v>3</v>
      </c>
      <c r="AG594" t="n">
        <v>4</v>
      </c>
      <c r="AH594" t="n">
        <v>4</v>
      </c>
      <c r="AI594" t="n">
        <v>4</v>
      </c>
      <c r="AJ594" t="n">
        <v>10</v>
      </c>
      <c r="AK594" t="n">
        <v>11</v>
      </c>
      <c r="AL594" t="n">
        <v>3</v>
      </c>
      <c r="AM594" t="n">
        <v>3</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HYPERLINK("https://creighton-primo.hosted.exlibrisgroup.com/primo-explore/search?tab=default_tab&amp;search_scope=EVERYTHING&amp;vid=01CRU&amp;lang=en_US&amp;offset=0&amp;query=any,contains,991002207989702656","Catalog Record")</f>
        <v/>
      </c>
      <c r="AT594">
        <f>HYPERLINK("http://www.worldcat.org/oclc/286869","WorldCat Record")</f>
        <v/>
      </c>
      <c r="AU594" t="inlineStr">
        <is>
          <t>20999464:eng</t>
        </is>
      </c>
      <c r="AV594" t="inlineStr">
        <is>
          <t>286869</t>
        </is>
      </c>
      <c r="AW594" t="inlineStr">
        <is>
          <t>991002207989702656</t>
        </is>
      </c>
      <c r="AX594" t="inlineStr">
        <is>
          <t>991002207989702656</t>
        </is>
      </c>
      <c r="AY594" t="inlineStr">
        <is>
          <t>2260888890002656</t>
        </is>
      </c>
      <c r="AZ594" t="inlineStr">
        <is>
          <t>BOOK</t>
        </is>
      </c>
      <c r="BB594" t="inlineStr">
        <is>
          <t>9780664249540</t>
        </is>
      </c>
      <c r="BC594" t="inlineStr">
        <is>
          <t>32285000966860</t>
        </is>
      </c>
      <c r="BD594" t="inlineStr">
        <is>
          <t>893421054</t>
        </is>
      </c>
    </row>
    <row r="595">
      <c r="A595" t="inlineStr">
        <is>
          <t>No</t>
        </is>
      </c>
      <c r="B595" t="inlineStr">
        <is>
          <t>BV4501.2 .S877 1998</t>
        </is>
      </c>
      <c r="C595" t="inlineStr">
        <is>
          <t>0                      BV 4501200S  877         1998</t>
        </is>
      </c>
      <c r="D595" t="inlineStr">
        <is>
          <t>A cup of coffee at the soul cafe / Leonard Sweet ; with Denise Marie Siino.</t>
        </is>
      </c>
      <c r="F595" t="inlineStr">
        <is>
          <t>No</t>
        </is>
      </c>
      <c r="G595" t="inlineStr">
        <is>
          <t>1</t>
        </is>
      </c>
      <c r="H595" t="inlineStr">
        <is>
          <t>No</t>
        </is>
      </c>
      <c r="I595" t="inlineStr">
        <is>
          <t>No</t>
        </is>
      </c>
      <c r="J595" t="inlineStr">
        <is>
          <t>0</t>
        </is>
      </c>
      <c r="K595" t="inlineStr">
        <is>
          <t>Sweet, Leonard I.</t>
        </is>
      </c>
      <c r="L595" t="inlineStr">
        <is>
          <t>Nashville : Broadman &amp; Holman Publishers, c1998.</t>
        </is>
      </c>
      <c r="M595" t="inlineStr">
        <is>
          <t>1998</t>
        </is>
      </c>
      <c r="O595" t="inlineStr">
        <is>
          <t>eng</t>
        </is>
      </c>
      <c r="P595" t="inlineStr">
        <is>
          <t>tnu</t>
        </is>
      </c>
      <c r="R595" t="inlineStr">
        <is>
          <t xml:space="preserve">BV </t>
        </is>
      </c>
      <c r="S595" t="n">
        <v>1</v>
      </c>
      <c r="T595" t="n">
        <v>1</v>
      </c>
      <c r="U595" t="inlineStr">
        <is>
          <t>2004-03-17</t>
        </is>
      </c>
      <c r="V595" t="inlineStr">
        <is>
          <t>2004-03-17</t>
        </is>
      </c>
      <c r="W595" t="inlineStr">
        <is>
          <t>2004-03-17</t>
        </is>
      </c>
      <c r="X595" t="inlineStr">
        <is>
          <t>2004-03-17</t>
        </is>
      </c>
      <c r="Y595" t="n">
        <v>140</v>
      </c>
      <c r="Z595" t="n">
        <v>135</v>
      </c>
      <c r="AA595" t="n">
        <v>136</v>
      </c>
      <c r="AB595" t="n">
        <v>2</v>
      </c>
      <c r="AC595" t="n">
        <v>2</v>
      </c>
      <c r="AD595" t="n">
        <v>4</v>
      </c>
      <c r="AE595" t="n">
        <v>4</v>
      </c>
      <c r="AF595" t="n">
        <v>3</v>
      </c>
      <c r="AG595" t="n">
        <v>3</v>
      </c>
      <c r="AH595" t="n">
        <v>0</v>
      </c>
      <c r="AI595" t="n">
        <v>0</v>
      </c>
      <c r="AJ595" t="n">
        <v>0</v>
      </c>
      <c r="AK595" t="n">
        <v>0</v>
      </c>
      <c r="AL595" t="n">
        <v>1</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HYPERLINK("https://creighton-primo.hosted.exlibrisgroup.com/primo-explore/search?tab=default_tab&amp;search_scope=EVERYTHING&amp;vid=01CRU&amp;lang=en_US&amp;offset=0&amp;query=any,contains,991004264149702656","Catalog Record")</f>
        <v/>
      </c>
      <c r="AT595">
        <f>HYPERLINK("http://www.worldcat.org/oclc/38120651","WorldCat Record")</f>
        <v/>
      </c>
      <c r="AU595" t="inlineStr">
        <is>
          <t>614378:eng</t>
        </is>
      </c>
      <c r="AV595" t="inlineStr">
        <is>
          <t>38120651</t>
        </is>
      </c>
      <c r="AW595" t="inlineStr">
        <is>
          <t>991004264149702656</t>
        </is>
      </c>
      <c r="AX595" t="inlineStr">
        <is>
          <t>991004264149702656</t>
        </is>
      </c>
      <c r="AY595" t="inlineStr">
        <is>
          <t>2265348620002656</t>
        </is>
      </c>
      <c r="AZ595" t="inlineStr">
        <is>
          <t>BOOK</t>
        </is>
      </c>
      <c r="BB595" t="inlineStr">
        <is>
          <t>9780805401592</t>
        </is>
      </c>
      <c r="BC595" t="inlineStr">
        <is>
          <t>32285004894985</t>
        </is>
      </c>
      <c r="BD595" t="inlineStr">
        <is>
          <t>893241215</t>
        </is>
      </c>
    </row>
    <row r="596">
      <c r="A596" t="inlineStr">
        <is>
          <t>No</t>
        </is>
      </c>
      <c r="B596" t="inlineStr">
        <is>
          <t>BV4501.2 .T274 1999</t>
        </is>
      </c>
      <c r="C596" t="inlineStr">
        <is>
          <t>0                      BV 4501200T  274         1999</t>
        </is>
      </c>
      <c r="D596" t="inlineStr">
        <is>
          <t>The myth of certainty : the reflective Christian &amp; the risk of commitment / Daniel Taylor.</t>
        </is>
      </c>
      <c r="F596" t="inlineStr">
        <is>
          <t>No</t>
        </is>
      </c>
      <c r="G596" t="inlineStr">
        <is>
          <t>1</t>
        </is>
      </c>
      <c r="H596" t="inlineStr">
        <is>
          <t>No</t>
        </is>
      </c>
      <c r="I596" t="inlineStr">
        <is>
          <t>No</t>
        </is>
      </c>
      <c r="J596" t="inlineStr">
        <is>
          <t>0</t>
        </is>
      </c>
      <c r="K596" t="inlineStr">
        <is>
          <t>Taylor, Daniel, 1948-</t>
        </is>
      </c>
      <c r="L596" t="inlineStr">
        <is>
          <t>Downers Grove, Ill. : InterVarsity Press, [1999], c1992.</t>
        </is>
      </c>
      <c r="M596" t="inlineStr">
        <is>
          <t>1999</t>
        </is>
      </c>
      <c r="O596" t="inlineStr">
        <is>
          <t>eng</t>
        </is>
      </c>
      <c r="P596" t="inlineStr">
        <is>
          <t>ilu</t>
        </is>
      </c>
      <c r="R596" t="inlineStr">
        <is>
          <t xml:space="preserve">BV </t>
        </is>
      </c>
      <c r="S596" t="n">
        <v>3</v>
      </c>
      <c r="T596" t="n">
        <v>3</v>
      </c>
      <c r="U596" t="inlineStr">
        <is>
          <t>2009-01-16</t>
        </is>
      </c>
      <c r="V596" t="inlineStr">
        <is>
          <t>2009-01-16</t>
        </is>
      </c>
      <c r="W596" t="inlineStr">
        <is>
          <t>2008-12-17</t>
        </is>
      </c>
      <c r="X596" t="inlineStr">
        <is>
          <t>2008-12-17</t>
        </is>
      </c>
      <c r="Y596" t="n">
        <v>106</v>
      </c>
      <c r="Z596" t="n">
        <v>100</v>
      </c>
      <c r="AA596" t="n">
        <v>235</v>
      </c>
      <c r="AB596" t="n">
        <v>1</v>
      </c>
      <c r="AC596" t="n">
        <v>2</v>
      </c>
      <c r="AD596" t="n">
        <v>0</v>
      </c>
      <c r="AE596" t="n">
        <v>4</v>
      </c>
      <c r="AF596" t="n">
        <v>0</v>
      </c>
      <c r="AG596" t="n">
        <v>3</v>
      </c>
      <c r="AH596" t="n">
        <v>0</v>
      </c>
      <c r="AI596" t="n">
        <v>0</v>
      </c>
      <c r="AJ596" t="n">
        <v>0</v>
      </c>
      <c r="AK596" t="n">
        <v>0</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HYPERLINK("https://creighton-primo.hosted.exlibrisgroup.com/primo-explore/search?tab=default_tab&amp;search_scope=EVERYTHING&amp;vid=01CRU&amp;lang=en_US&amp;offset=0&amp;query=any,contains,991005285299702656","Catalog Record")</f>
        <v/>
      </c>
      <c r="AT596">
        <f>HYPERLINK("http://www.worldcat.org/oclc/42682685","WorldCat Record")</f>
        <v/>
      </c>
      <c r="AU596" t="inlineStr">
        <is>
          <t>1020767564:eng</t>
        </is>
      </c>
      <c r="AV596" t="inlineStr">
        <is>
          <t>42682685</t>
        </is>
      </c>
      <c r="AW596" t="inlineStr">
        <is>
          <t>991005285299702656</t>
        </is>
      </c>
      <c r="AX596" t="inlineStr">
        <is>
          <t>991005285299702656</t>
        </is>
      </c>
      <c r="AY596" t="inlineStr">
        <is>
          <t>2260718750002656</t>
        </is>
      </c>
      <c r="AZ596" t="inlineStr">
        <is>
          <t>BOOK</t>
        </is>
      </c>
      <c r="BB596" t="inlineStr">
        <is>
          <t>9780830822379</t>
        </is>
      </c>
      <c r="BC596" t="inlineStr">
        <is>
          <t>32285005474316</t>
        </is>
      </c>
      <c r="BD596" t="inlineStr">
        <is>
          <t>893607141</t>
        </is>
      </c>
    </row>
    <row r="597">
      <c r="A597" t="inlineStr">
        <is>
          <t>No</t>
        </is>
      </c>
      <c r="B597" t="inlineStr">
        <is>
          <t>BV4501.2 .T4</t>
        </is>
      </c>
      <c r="C597" t="inlineStr">
        <is>
          <t>0                      BV 4501200T  4</t>
        </is>
      </c>
      <c r="D597" t="inlineStr">
        <is>
          <t>English spirituality : an outline of ascetical theology according to the English pastoral tradition / by Martin Thornton.</t>
        </is>
      </c>
      <c r="F597" t="inlineStr">
        <is>
          <t>No</t>
        </is>
      </c>
      <c r="G597" t="inlineStr">
        <is>
          <t>1</t>
        </is>
      </c>
      <c r="H597" t="inlineStr">
        <is>
          <t>No</t>
        </is>
      </c>
      <c r="I597" t="inlineStr">
        <is>
          <t>No</t>
        </is>
      </c>
      <c r="J597" t="inlineStr">
        <is>
          <t>0</t>
        </is>
      </c>
      <c r="K597" t="inlineStr">
        <is>
          <t>Thornton, Martin.</t>
        </is>
      </c>
      <c r="L597" t="inlineStr">
        <is>
          <t>London : S.P.C.K., 1963.</t>
        </is>
      </c>
      <c r="M597" t="inlineStr">
        <is>
          <t>1963</t>
        </is>
      </c>
      <c r="O597" t="inlineStr">
        <is>
          <t>eng</t>
        </is>
      </c>
      <c r="P597" t="inlineStr">
        <is>
          <t>___</t>
        </is>
      </c>
      <c r="R597" t="inlineStr">
        <is>
          <t xml:space="preserve">BV </t>
        </is>
      </c>
      <c r="S597" t="n">
        <v>4</v>
      </c>
      <c r="T597" t="n">
        <v>4</v>
      </c>
      <c r="U597" t="inlineStr">
        <is>
          <t>2008-03-06</t>
        </is>
      </c>
      <c r="V597" t="inlineStr">
        <is>
          <t>2008-03-06</t>
        </is>
      </c>
      <c r="W597" t="inlineStr">
        <is>
          <t>1992-02-27</t>
        </is>
      </c>
      <c r="X597" t="inlineStr">
        <is>
          <t>1992-02-27</t>
        </is>
      </c>
      <c r="Y597" t="n">
        <v>245</v>
      </c>
      <c r="Z597" t="n">
        <v>173</v>
      </c>
      <c r="AA597" t="n">
        <v>271</v>
      </c>
      <c r="AB597" t="n">
        <v>1</v>
      </c>
      <c r="AC597" t="n">
        <v>1</v>
      </c>
      <c r="AD597" t="n">
        <v>10</v>
      </c>
      <c r="AE597" t="n">
        <v>13</v>
      </c>
      <c r="AF597" t="n">
        <v>1</v>
      </c>
      <c r="AG597" t="n">
        <v>3</v>
      </c>
      <c r="AH597" t="n">
        <v>3</v>
      </c>
      <c r="AI597" t="n">
        <v>4</v>
      </c>
      <c r="AJ597" t="n">
        <v>8</v>
      </c>
      <c r="AK597" t="n">
        <v>9</v>
      </c>
      <c r="AL597" t="n">
        <v>0</v>
      </c>
      <c r="AM597" t="n">
        <v>0</v>
      </c>
      <c r="AN597" t="n">
        <v>0</v>
      </c>
      <c r="AO597" t="n">
        <v>0</v>
      </c>
      <c r="AP597" t="inlineStr">
        <is>
          <t>No</t>
        </is>
      </c>
      <c r="AQ597" t="inlineStr">
        <is>
          <t>Yes</t>
        </is>
      </c>
      <c r="AR597">
        <f>HYPERLINK("http://catalog.hathitrust.org/Record/007315416","HathiTrust Record")</f>
        <v/>
      </c>
      <c r="AS597">
        <f>HYPERLINK("https://creighton-primo.hosted.exlibrisgroup.com/primo-explore/search?tab=default_tab&amp;search_scope=EVERYTHING&amp;vid=01CRU&amp;lang=en_US&amp;offset=0&amp;query=any,contains,991002001229702656","Catalog Record")</f>
        <v/>
      </c>
      <c r="AT597">
        <f>HYPERLINK("http://www.worldcat.org/oclc/255727","WorldCat Record")</f>
        <v/>
      </c>
      <c r="AU597" t="inlineStr">
        <is>
          <t>1352993:eng</t>
        </is>
      </c>
      <c r="AV597" t="inlineStr">
        <is>
          <t>255727</t>
        </is>
      </c>
      <c r="AW597" t="inlineStr">
        <is>
          <t>991002001229702656</t>
        </is>
      </c>
      <c r="AX597" t="inlineStr">
        <is>
          <t>991002001229702656</t>
        </is>
      </c>
      <c r="AY597" t="inlineStr">
        <is>
          <t>2272343440002656</t>
        </is>
      </c>
      <c r="AZ597" t="inlineStr">
        <is>
          <t>BOOK</t>
        </is>
      </c>
      <c r="BC597" t="inlineStr">
        <is>
          <t>32285000966894</t>
        </is>
      </c>
      <c r="BD597" t="inlineStr">
        <is>
          <t>893334815</t>
        </is>
      </c>
    </row>
    <row r="598">
      <c r="A598" t="inlineStr">
        <is>
          <t>No</t>
        </is>
      </c>
      <c r="B598" t="inlineStr">
        <is>
          <t>BV4501.2 .U538</t>
        </is>
      </c>
      <c r="C598" t="inlineStr">
        <is>
          <t>0                      BV 4501200U  538</t>
        </is>
      </c>
      <c r="D598" t="inlineStr">
        <is>
          <t>The role of the Christian family in the modern world : for the use of the episcopal conferences /</t>
        </is>
      </c>
      <c r="F598" t="inlineStr">
        <is>
          <t>No</t>
        </is>
      </c>
      <c r="G598" t="inlineStr">
        <is>
          <t>1</t>
        </is>
      </c>
      <c r="H598" t="inlineStr">
        <is>
          <t>No</t>
        </is>
      </c>
      <c r="I598" t="inlineStr">
        <is>
          <t>No</t>
        </is>
      </c>
      <c r="J598" t="inlineStr">
        <is>
          <t>0</t>
        </is>
      </c>
      <c r="K598" t="inlineStr">
        <is>
          <t>United States Catholic Conference.</t>
        </is>
      </c>
      <c r="L598" t="inlineStr">
        <is>
          <t>Washington, D.C. : Publications Office, United States Catholic Conference, 1979.</t>
        </is>
      </c>
      <c r="M598" t="inlineStr">
        <is>
          <t>1979</t>
        </is>
      </c>
      <c r="O598" t="inlineStr">
        <is>
          <t>eng</t>
        </is>
      </c>
      <c r="P598" t="inlineStr">
        <is>
          <t>dcu</t>
        </is>
      </c>
      <c r="R598" t="inlineStr">
        <is>
          <t xml:space="preserve">BV </t>
        </is>
      </c>
      <c r="S598" t="n">
        <v>1</v>
      </c>
      <c r="T598" t="n">
        <v>1</v>
      </c>
      <c r="U598" t="inlineStr">
        <is>
          <t>1999-10-22</t>
        </is>
      </c>
      <c r="V598" t="inlineStr">
        <is>
          <t>1999-10-22</t>
        </is>
      </c>
      <c r="W598" t="inlineStr">
        <is>
          <t>1992-02-27</t>
        </is>
      </c>
      <c r="X598" t="inlineStr">
        <is>
          <t>1992-02-27</t>
        </is>
      </c>
      <c r="Y598" t="n">
        <v>49</v>
      </c>
      <c r="Z598" t="n">
        <v>46</v>
      </c>
      <c r="AA598" t="n">
        <v>46</v>
      </c>
      <c r="AB598" t="n">
        <v>1</v>
      </c>
      <c r="AC598" t="n">
        <v>1</v>
      </c>
      <c r="AD598" t="n">
        <v>10</v>
      </c>
      <c r="AE598" t="n">
        <v>10</v>
      </c>
      <c r="AF598" t="n">
        <v>3</v>
      </c>
      <c r="AG598" t="n">
        <v>3</v>
      </c>
      <c r="AH598" t="n">
        <v>2</v>
      </c>
      <c r="AI598" t="n">
        <v>2</v>
      </c>
      <c r="AJ598" t="n">
        <v>9</v>
      </c>
      <c r="AK598" t="n">
        <v>9</v>
      </c>
      <c r="AL598" t="n">
        <v>0</v>
      </c>
      <c r="AM598" t="n">
        <v>0</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HYPERLINK("https://creighton-primo.hosted.exlibrisgroup.com/primo-explore/search?tab=default_tab&amp;search_scope=EVERYTHING&amp;vid=01CRU&amp;lang=en_US&amp;offset=0&amp;query=any,contains,991004918129702656","Catalog Record")</f>
        <v/>
      </c>
      <c r="AT598">
        <f>HYPERLINK("http://www.worldcat.org/oclc/6029039","WorldCat Record")</f>
        <v/>
      </c>
      <c r="AU598" t="inlineStr">
        <is>
          <t>3770085970:eng</t>
        </is>
      </c>
      <c r="AV598" t="inlineStr">
        <is>
          <t>6029039</t>
        </is>
      </c>
      <c r="AW598" t="inlineStr">
        <is>
          <t>991004918129702656</t>
        </is>
      </c>
      <c r="AX598" t="inlineStr">
        <is>
          <t>991004918129702656</t>
        </is>
      </c>
      <c r="AY598" t="inlineStr">
        <is>
          <t>2270842270002656</t>
        </is>
      </c>
      <c r="AZ598" t="inlineStr">
        <is>
          <t>BOOK</t>
        </is>
      </c>
      <c r="BC598" t="inlineStr">
        <is>
          <t>32285000966910</t>
        </is>
      </c>
      <c r="BD598" t="inlineStr">
        <is>
          <t>893870248</t>
        </is>
      </c>
    </row>
    <row r="599">
      <c r="A599" t="inlineStr">
        <is>
          <t>No</t>
        </is>
      </c>
      <c r="B599" t="inlineStr">
        <is>
          <t>BV4501.2 .V345 1994</t>
        </is>
      </c>
      <c r="C599" t="inlineStr">
        <is>
          <t>0                      BV 4501200V  345         1994</t>
        </is>
      </c>
      <c r="D599" t="inlineStr">
        <is>
          <t>Why good people do bad things / Gerard Vanderhaar.</t>
        </is>
      </c>
      <c r="F599" t="inlineStr">
        <is>
          <t>No</t>
        </is>
      </c>
      <c r="G599" t="inlineStr">
        <is>
          <t>1</t>
        </is>
      </c>
      <c r="H599" t="inlineStr">
        <is>
          <t>No</t>
        </is>
      </c>
      <c r="I599" t="inlineStr">
        <is>
          <t>No</t>
        </is>
      </c>
      <c r="J599" t="inlineStr">
        <is>
          <t>0</t>
        </is>
      </c>
      <c r="K599" t="inlineStr">
        <is>
          <t>Vanderhaar, Gerard A.</t>
        </is>
      </c>
      <c r="L599" t="inlineStr">
        <is>
          <t>Mystic, Conn. : Twenty-Third Publications, c1994.</t>
        </is>
      </c>
      <c r="M599" t="inlineStr">
        <is>
          <t>1994</t>
        </is>
      </c>
      <c r="O599" t="inlineStr">
        <is>
          <t>eng</t>
        </is>
      </c>
      <c r="P599" t="inlineStr">
        <is>
          <t>ctu</t>
        </is>
      </c>
      <c r="R599" t="inlineStr">
        <is>
          <t xml:space="preserve">BV </t>
        </is>
      </c>
      <c r="S599" t="n">
        <v>9</v>
      </c>
      <c r="T599" t="n">
        <v>9</v>
      </c>
      <c r="U599" t="inlineStr">
        <is>
          <t>2000-07-26</t>
        </is>
      </c>
      <c r="V599" t="inlineStr">
        <is>
          <t>2000-07-26</t>
        </is>
      </c>
      <c r="W599" t="inlineStr">
        <is>
          <t>1994-12-13</t>
        </is>
      </c>
      <c r="X599" t="inlineStr">
        <is>
          <t>1994-12-13</t>
        </is>
      </c>
      <c r="Y599" t="n">
        <v>92</v>
      </c>
      <c r="Z599" t="n">
        <v>81</v>
      </c>
      <c r="AA599" t="n">
        <v>81</v>
      </c>
      <c r="AB599" t="n">
        <v>1</v>
      </c>
      <c r="AC599" t="n">
        <v>1</v>
      </c>
      <c r="AD599" t="n">
        <v>10</v>
      </c>
      <c r="AE599" t="n">
        <v>10</v>
      </c>
      <c r="AF599" t="n">
        <v>4</v>
      </c>
      <c r="AG599" t="n">
        <v>4</v>
      </c>
      <c r="AH599" t="n">
        <v>2</v>
      </c>
      <c r="AI599" t="n">
        <v>2</v>
      </c>
      <c r="AJ599" t="n">
        <v>7</v>
      </c>
      <c r="AK599" t="n">
        <v>7</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HYPERLINK("https://creighton-primo.hosted.exlibrisgroup.com/primo-explore/search?tab=default_tab&amp;search_scope=EVERYTHING&amp;vid=01CRU&amp;lang=en_US&amp;offset=0&amp;query=any,contains,991002267179702656","Catalog Record")</f>
        <v/>
      </c>
      <c r="AT599">
        <f>HYPERLINK("http://www.worldcat.org/oclc/29420687","WorldCat Record")</f>
        <v/>
      </c>
      <c r="AU599" t="inlineStr">
        <is>
          <t>3943736115:eng</t>
        </is>
      </c>
      <c r="AV599" t="inlineStr">
        <is>
          <t>29420687</t>
        </is>
      </c>
      <c r="AW599" t="inlineStr">
        <is>
          <t>991002267179702656</t>
        </is>
      </c>
      <c r="AX599" t="inlineStr">
        <is>
          <t>991002267179702656</t>
        </is>
      </c>
      <c r="AY599" t="inlineStr">
        <is>
          <t>2269306240002656</t>
        </is>
      </c>
      <c r="AZ599" t="inlineStr">
        <is>
          <t>BOOK</t>
        </is>
      </c>
      <c r="BB599" t="inlineStr">
        <is>
          <t>9780896225718</t>
        </is>
      </c>
      <c r="BC599" t="inlineStr">
        <is>
          <t>32285001976926</t>
        </is>
      </c>
      <c r="BD599" t="inlineStr">
        <is>
          <t>893597220</t>
        </is>
      </c>
    </row>
    <row r="600">
      <c r="A600" t="inlineStr">
        <is>
          <t>No</t>
        </is>
      </c>
      <c r="B600" t="inlineStr">
        <is>
          <t>BV4501.2 .V36 1974</t>
        </is>
      </c>
      <c r="C600" t="inlineStr">
        <is>
          <t>0                      BV 4501200V  36          1974</t>
        </is>
      </c>
      <c r="D600" t="inlineStr">
        <is>
          <t>Spirituality and the gentle life.</t>
        </is>
      </c>
      <c r="F600" t="inlineStr">
        <is>
          <t>No</t>
        </is>
      </c>
      <c r="G600" t="inlineStr">
        <is>
          <t>1</t>
        </is>
      </c>
      <c r="H600" t="inlineStr">
        <is>
          <t>No</t>
        </is>
      </c>
      <c r="I600" t="inlineStr">
        <is>
          <t>No</t>
        </is>
      </c>
      <c r="J600" t="inlineStr">
        <is>
          <t>0</t>
        </is>
      </c>
      <c r="K600" t="inlineStr">
        <is>
          <t>Van Kaam, Adrian L., 1920-2007.</t>
        </is>
      </c>
      <c r="L600" t="inlineStr">
        <is>
          <t>Denville, N.J. : Dimension Books, Inc., 1974.</t>
        </is>
      </c>
      <c r="M600" t="inlineStr">
        <is>
          <t>1974</t>
        </is>
      </c>
      <c r="O600" t="inlineStr">
        <is>
          <t>eng</t>
        </is>
      </c>
      <c r="P600" t="inlineStr">
        <is>
          <t>___</t>
        </is>
      </c>
      <c r="R600" t="inlineStr">
        <is>
          <t xml:space="preserve">BV </t>
        </is>
      </c>
      <c r="S600" t="n">
        <v>9</v>
      </c>
      <c r="T600" t="n">
        <v>9</v>
      </c>
      <c r="U600" t="inlineStr">
        <is>
          <t>2002-07-28</t>
        </is>
      </c>
      <c r="V600" t="inlineStr">
        <is>
          <t>2002-07-28</t>
        </is>
      </c>
      <c r="W600" t="inlineStr">
        <is>
          <t>1992-02-27</t>
        </is>
      </c>
      <c r="X600" t="inlineStr">
        <is>
          <t>1992-02-27</t>
        </is>
      </c>
      <c r="Y600" t="n">
        <v>213</v>
      </c>
      <c r="Z600" t="n">
        <v>168</v>
      </c>
      <c r="AA600" t="n">
        <v>184</v>
      </c>
      <c r="AB600" t="n">
        <v>1</v>
      </c>
      <c r="AC600" t="n">
        <v>2</v>
      </c>
      <c r="AD600" t="n">
        <v>17</v>
      </c>
      <c r="AE600" t="n">
        <v>17</v>
      </c>
      <c r="AF600" t="n">
        <v>4</v>
      </c>
      <c r="AG600" t="n">
        <v>4</v>
      </c>
      <c r="AH600" t="n">
        <v>5</v>
      </c>
      <c r="AI600" t="n">
        <v>5</v>
      </c>
      <c r="AJ600" t="n">
        <v>14</v>
      </c>
      <c r="AK600" t="n">
        <v>14</v>
      </c>
      <c r="AL600" t="n">
        <v>0</v>
      </c>
      <c r="AM600" t="n">
        <v>0</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HYPERLINK("https://creighton-primo.hosted.exlibrisgroup.com/primo-explore/search?tab=default_tab&amp;search_scope=EVERYTHING&amp;vid=01CRU&amp;lang=en_US&amp;offset=0&amp;query=any,contains,991003541469702656","Catalog Record")</f>
        <v/>
      </c>
      <c r="AT600">
        <f>HYPERLINK("http://www.worldcat.org/oclc/1105980","WorldCat Record")</f>
        <v/>
      </c>
      <c r="AU600" t="inlineStr">
        <is>
          <t>1980298:eng</t>
        </is>
      </c>
      <c r="AV600" t="inlineStr">
        <is>
          <t>1105980</t>
        </is>
      </c>
      <c r="AW600" t="inlineStr">
        <is>
          <t>991003541469702656</t>
        </is>
      </c>
      <c r="AX600" t="inlineStr">
        <is>
          <t>991003541469702656</t>
        </is>
      </c>
      <c r="AY600" t="inlineStr">
        <is>
          <t>2258780870002656</t>
        </is>
      </c>
      <c r="AZ600" t="inlineStr">
        <is>
          <t>BOOK</t>
        </is>
      </c>
      <c r="BC600" t="inlineStr">
        <is>
          <t>32285000966928</t>
        </is>
      </c>
      <c r="BD600" t="inlineStr">
        <is>
          <t>893512063</t>
        </is>
      </c>
    </row>
    <row r="601">
      <c r="A601" t="inlineStr">
        <is>
          <t>No</t>
        </is>
      </c>
      <c r="B601" t="inlineStr">
        <is>
          <t>BV4501.2 .V39 1970</t>
        </is>
      </c>
      <c r="C601" t="inlineStr">
        <is>
          <t>0                      BV 4501200V  39          1970</t>
        </is>
      </c>
      <c r="D601" t="inlineStr">
        <is>
          <t>The current of spirituality.</t>
        </is>
      </c>
      <c r="F601" t="inlineStr">
        <is>
          <t>No</t>
        </is>
      </c>
      <c r="G601" t="inlineStr">
        <is>
          <t>1</t>
        </is>
      </c>
      <c r="H601" t="inlineStr">
        <is>
          <t>No</t>
        </is>
      </c>
      <c r="I601" t="inlineStr">
        <is>
          <t>No</t>
        </is>
      </c>
      <c r="J601" t="inlineStr">
        <is>
          <t>0</t>
        </is>
      </c>
      <c r="K601" t="inlineStr">
        <is>
          <t>Van Zeller, Hubert, 1905-1984.</t>
        </is>
      </c>
      <c r="L601" t="inlineStr">
        <is>
          <t>Springfield, Ill. : Templegate, [1970]</t>
        </is>
      </c>
      <c r="M601" t="inlineStr">
        <is>
          <t>1970</t>
        </is>
      </c>
      <c r="O601" t="inlineStr">
        <is>
          <t>eng</t>
        </is>
      </c>
      <c r="P601" t="inlineStr">
        <is>
          <t>___</t>
        </is>
      </c>
      <c r="R601" t="inlineStr">
        <is>
          <t xml:space="preserve">BV </t>
        </is>
      </c>
      <c r="S601" t="n">
        <v>6</v>
      </c>
      <c r="T601" t="n">
        <v>6</v>
      </c>
      <c r="U601" t="inlineStr">
        <is>
          <t>2008-04-06</t>
        </is>
      </c>
      <c r="V601" t="inlineStr">
        <is>
          <t>2008-04-06</t>
        </is>
      </c>
      <c r="W601" t="inlineStr">
        <is>
          <t>1992-02-27</t>
        </is>
      </c>
      <c r="X601" t="inlineStr">
        <is>
          <t>1992-02-27</t>
        </is>
      </c>
      <c r="Y601" t="n">
        <v>168</v>
      </c>
      <c r="Z601" t="n">
        <v>142</v>
      </c>
      <c r="AA601" t="n">
        <v>148</v>
      </c>
      <c r="AB601" t="n">
        <v>2</v>
      </c>
      <c r="AC601" t="n">
        <v>2</v>
      </c>
      <c r="AD601" t="n">
        <v>14</v>
      </c>
      <c r="AE601" t="n">
        <v>14</v>
      </c>
      <c r="AF601" t="n">
        <v>5</v>
      </c>
      <c r="AG601" t="n">
        <v>5</v>
      </c>
      <c r="AH601" t="n">
        <v>4</v>
      </c>
      <c r="AI601" t="n">
        <v>4</v>
      </c>
      <c r="AJ601" t="n">
        <v>11</v>
      </c>
      <c r="AK601" t="n">
        <v>11</v>
      </c>
      <c r="AL601" t="n">
        <v>0</v>
      </c>
      <c r="AM601" t="n">
        <v>0</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HYPERLINK("https://creighton-primo.hosted.exlibrisgroup.com/primo-explore/search?tab=default_tab&amp;search_scope=EVERYTHING&amp;vid=01CRU&amp;lang=en_US&amp;offset=0&amp;query=any,contains,991002849939702656","Catalog Record")</f>
        <v/>
      </c>
      <c r="AT601">
        <f>HYPERLINK("http://www.worldcat.org/oclc/486194","WorldCat Record")</f>
        <v/>
      </c>
      <c r="AU601" t="inlineStr">
        <is>
          <t>1570936:eng</t>
        </is>
      </c>
      <c r="AV601" t="inlineStr">
        <is>
          <t>486194</t>
        </is>
      </c>
      <c r="AW601" t="inlineStr">
        <is>
          <t>991002849939702656</t>
        </is>
      </c>
      <c r="AX601" t="inlineStr">
        <is>
          <t>991002849939702656</t>
        </is>
      </c>
      <c r="AY601" t="inlineStr">
        <is>
          <t>2256665640002656</t>
        </is>
      </c>
      <c r="AZ601" t="inlineStr">
        <is>
          <t>BOOK</t>
        </is>
      </c>
      <c r="BC601" t="inlineStr">
        <is>
          <t>32285000966936</t>
        </is>
      </c>
      <c r="BD601" t="inlineStr">
        <is>
          <t>893434368</t>
        </is>
      </c>
    </row>
    <row r="602">
      <c r="A602" t="inlineStr">
        <is>
          <t>No</t>
        </is>
      </c>
      <c r="B602" t="inlineStr">
        <is>
          <t>BV4501.2 .W435 1979</t>
        </is>
      </c>
      <c r="C602" t="inlineStr">
        <is>
          <t>0                      BV 4501200W  435         1979</t>
        </is>
      </c>
      <c r="D602" t="inlineStr">
        <is>
          <t>Western spirituality : historical roots, ecumenical routes / edited by Matthew Fox.</t>
        </is>
      </c>
      <c r="F602" t="inlineStr">
        <is>
          <t>No</t>
        </is>
      </c>
      <c r="G602" t="inlineStr">
        <is>
          <t>1</t>
        </is>
      </c>
      <c r="H602" t="inlineStr">
        <is>
          <t>No</t>
        </is>
      </c>
      <c r="I602" t="inlineStr">
        <is>
          <t>No</t>
        </is>
      </c>
      <c r="J602" t="inlineStr">
        <is>
          <t>0</t>
        </is>
      </c>
      <c r="L602" t="inlineStr">
        <is>
          <t>Notre Dame, Ind. : Fides/Claretian, c1979.</t>
        </is>
      </c>
      <c r="M602" t="inlineStr">
        <is>
          <t>1979</t>
        </is>
      </c>
      <c r="O602" t="inlineStr">
        <is>
          <t>eng</t>
        </is>
      </c>
      <c r="P602" t="inlineStr">
        <is>
          <t>inu</t>
        </is>
      </c>
      <c r="R602" t="inlineStr">
        <is>
          <t xml:space="preserve">BV </t>
        </is>
      </c>
      <c r="S602" t="n">
        <v>1</v>
      </c>
      <c r="T602" t="n">
        <v>1</v>
      </c>
      <c r="U602" t="inlineStr">
        <is>
          <t>2009-07-13</t>
        </is>
      </c>
      <c r="V602" t="inlineStr">
        <is>
          <t>2009-07-13</t>
        </is>
      </c>
      <c r="W602" t="inlineStr">
        <is>
          <t>2009-07-13</t>
        </is>
      </c>
      <c r="X602" t="inlineStr">
        <is>
          <t>2009-07-13</t>
        </is>
      </c>
      <c r="Y602" t="n">
        <v>198</v>
      </c>
      <c r="Z602" t="n">
        <v>179</v>
      </c>
      <c r="AA602" t="n">
        <v>388</v>
      </c>
      <c r="AB602" t="n">
        <v>2</v>
      </c>
      <c r="AC602" t="n">
        <v>3</v>
      </c>
      <c r="AD602" t="n">
        <v>19</v>
      </c>
      <c r="AE602" t="n">
        <v>26</v>
      </c>
      <c r="AF602" t="n">
        <v>3</v>
      </c>
      <c r="AG602" t="n">
        <v>8</v>
      </c>
      <c r="AH602" t="n">
        <v>5</v>
      </c>
      <c r="AI602" t="n">
        <v>6</v>
      </c>
      <c r="AJ602" t="n">
        <v>15</v>
      </c>
      <c r="AK602" t="n">
        <v>17</v>
      </c>
      <c r="AL602" t="n">
        <v>0</v>
      </c>
      <c r="AM602" t="n">
        <v>1</v>
      </c>
      <c r="AN602" t="n">
        <v>0</v>
      </c>
      <c r="AO602" t="n">
        <v>0</v>
      </c>
      <c r="AP602" t="inlineStr">
        <is>
          <t>No</t>
        </is>
      </c>
      <c r="AQ602" t="inlineStr">
        <is>
          <t>Yes</t>
        </is>
      </c>
      <c r="AR602">
        <f>HYPERLINK("http://catalog.hathitrust.org/Record/006019372","HathiTrust Record")</f>
        <v/>
      </c>
      <c r="AS602">
        <f>HYPERLINK("https://creighton-primo.hosted.exlibrisgroup.com/primo-explore/search?tab=default_tab&amp;search_scope=EVERYTHING&amp;vid=01CRU&amp;lang=en_US&amp;offset=0&amp;query=any,contains,991005325799702656","Catalog Record")</f>
        <v/>
      </c>
      <c r="AT602">
        <f>HYPERLINK("http://www.worldcat.org/oclc/5264670","WorldCat Record")</f>
        <v/>
      </c>
      <c r="AU602" t="inlineStr">
        <is>
          <t>898805700:eng</t>
        </is>
      </c>
      <c r="AV602" t="inlineStr">
        <is>
          <t>5264670</t>
        </is>
      </c>
      <c r="AW602" t="inlineStr">
        <is>
          <t>991005325799702656</t>
        </is>
      </c>
      <c r="AX602" t="inlineStr">
        <is>
          <t>991005325799702656</t>
        </is>
      </c>
      <c r="AY602" t="inlineStr">
        <is>
          <t>2259082400002656</t>
        </is>
      </c>
      <c r="AZ602" t="inlineStr">
        <is>
          <t>BOOK</t>
        </is>
      </c>
      <c r="BB602" t="inlineStr">
        <is>
          <t>9780819006356</t>
        </is>
      </c>
      <c r="BC602" t="inlineStr">
        <is>
          <t>32285005537500</t>
        </is>
      </c>
      <c r="BD602" t="inlineStr">
        <is>
          <t>893326563</t>
        </is>
      </c>
    </row>
    <row r="603">
      <c r="A603" t="inlineStr">
        <is>
          <t>No</t>
        </is>
      </c>
      <c r="B603" t="inlineStr">
        <is>
          <t>BV4501.2 .W47</t>
        </is>
      </c>
      <c r="C603" t="inlineStr">
        <is>
          <t>0                      BV 4501200W  47</t>
        </is>
      </c>
      <c r="D603" t="inlineStr">
        <is>
          <t>Christian life patterns : the psychological challenges and religious invitations of adult life / Evelyn Eaton Whitehead and James D. Whitehead.</t>
        </is>
      </c>
      <c r="F603" t="inlineStr">
        <is>
          <t>No</t>
        </is>
      </c>
      <c r="G603" t="inlineStr">
        <is>
          <t>1</t>
        </is>
      </c>
      <c r="H603" t="inlineStr">
        <is>
          <t>No</t>
        </is>
      </c>
      <c r="I603" t="inlineStr">
        <is>
          <t>No</t>
        </is>
      </c>
      <c r="J603" t="inlineStr">
        <is>
          <t>0</t>
        </is>
      </c>
      <c r="K603" t="inlineStr">
        <is>
          <t>Whitehead, Evelyn Eaton.</t>
        </is>
      </c>
      <c r="L603" t="inlineStr">
        <is>
          <t>Garden City, N.Y. : Doubleday, 1979.</t>
        </is>
      </c>
      <c r="M603" t="inlineStr">
        <is>
          <t>1979</t>
        </is>
      </c>
      <c r="N603" t="inlineStr">
        <is>
          <t>1st ed.</t>
        </is>
      </c>
      <c r="O603" t="inlineStr">
        <is>
          <t>eng</t>
        </is>
      </c>
      <c r="P603" t="inlineStr">
        <is>
          <t>nyu</t>
        </is>
      </c>
      <c r="R603" t="inlineStr">
        <is>
          <t xml:space="preserve">BV </t>
        </is>
      </c>
      <c r="S603" t="n">
        <v>3</v>
      </c>
      <c r="T603" t="n">
        <v>3</v>
      </c>
      <c r="U603" t="inlineStr">
        <is>
          <t>1995-07-09</t>
        </is>
      </c>
      <c r="V603" t="inlineStr">
        <is>
          <t>1995-07-09</t>
        </is>
      </c>
      <c r="W603" t="inlineStr">
        <is>
          <t>1990-06-28</t>
        </is>
      </c>
      <c r="X603" t="inlineStr">
        <is>
          <t>1990-06-28</t>
        </is>
      </c>
      <c r="Y603" t="n">
        <v>397</v>
      </c>
      <c r="Z603" t="n">
        <v>351</v>
      </c>
      <c r="AA603" t="n">
        <v>486</v>
      </c>
      <c r="AB603" t="n">
        <v>4</v>
      </c>
      <c r="AC603" t="n">
        <v>6</v>
      </c>
      <c r="AD603" t="n">
        <v>27</v>
      </c>
      <c r="AE603" t="n">
        <v>35</v>
      </c>
      <c r="AF603" t="n">
        <v>10</v>
      </c>
      <c r="AG603" t="n">
        <v>13</v>
      </c>
      <c r="AH603" t="n">
        <v>5</v>
      </c>
      <c r="AI603" t="n">
        <v>6</v>
      </c>
      <c r="AJ603" t="n">
        <v>16</v>
      </c>
      <c r="AK603" t="n">
        <v>22</v>
      </c>
      <c r="AL603" t="n">
        <v>2</v>
      </c>
      <c r="AM603" t="n">
        <v>4</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HYPERLINK("https://creighton-primo.hosted.exlibrisgroup.com/primo-explore/search?tab=default_tab&amp;search_scope=EVERYTHING&amp;vid=01CRU&amp;lang=en_US&amp;offset=0&amp;query=any,contains,991004731939702656","Catalog Record")</f>
        <v/>
      </c>
      <c r="AT603">
        <f>HYPERLINK("http://www.worldcat.org/oclc/4835230","WorldCat Record")</f>
        <v/>
      </c>
      <c r="AU603" t="inlineStr">
        <is>
          <t>15071361:eng</t>
        </is>
      </c>
      <c r="AV603" t="inlineStr">
        <is>
          <t>4835230</t>
        </is>
      </c>
      <c r="AW603" t="inlineStr">
        <is>
          <t>991004731939702656</t>
        </is>
      </c>
      <c r="AX603" t="inlineStr">
        <is>
          <t>991004731939702656</t>
        </is>
      </c>
      <c r="AY603" t="inlineStr">
        <is>
          <t>2265252580002656</t>
        </is>
      </c>
      <c r="AZ603" t="inlineStr">
        <is>
          <t>BOOK</t>
        </is>
      </c>
      <c r="BB603" t="inlineStr">
        <is>
          <t>9780385151306</t>
        </is>
      </c>
      <c r="BC603" t="inlineStr">
        <is>
          <t>32285000217041</t>
        </is>
      </c>
      <c r="BD603" t="inlineStr">
        <is>
          <t>893895410</t>
        </is>
      </c>
    </row>
    <row r="604">
      <c r="A604" t="inlineStr">
        <is>
          <t>No</t>
        </is>
      </c>
      <c r="B604" t="inlineStr">
        <is>
          <t>BV4501.2 .W473 1984</t>
        </is>
      </c>
      <c r="C604" t="inlineStr">
        <is>
          <t>0                      BV 4501200W  473         1984</t>
        </is>
      </c>
      <c r="D604" t="inlineStr">
        <is>
          <t>Seasons of strength : new visions of adult Christian maturing / by Evelyn Eaton Whitehead and James D. Whitehead.</t>
        </is>
      </c>
      <c r="F604" t="inlineStr">
        <is>
          <t>No</t>
        </is>
      </c>
      <c r="G604" t="inlineStr">
        <is>
          <t>1</t>
        </is>
      </c>
      <c r="H604" t="inlineStr">
        <is>
          <t>No</t>
        </is>
      </c>
      <c r="I604" t="inlineStr">
        <is>
          <t>No</t>
        </is>
      </c>
      <c r="J604" t="inlineStr">
        <is>
          <t>0</t>
        </is>
      </c>
      <c r="K604" t="inlineStr">
        <is>
          <t>Whitehead, Evelyn Eaton.</t>
        </is>
      </c>
      <c r="L604" t="inlineStr">
        <is>
          <t>Garden City, N.Y. : Doubleday, 1984.</t>
        </is>
      </c>
      <c r="M604" t="inlineStr">
        <is>
          <t>1984</t>
        </is>
      </c>
      <c r="N604" t="inlineStr">
        <is>
          <t>1st ed.</t>
        </is>
      </c>
      <c r="O604" t="inlineStr">
        <is>
          <t>eng</t>
        </is>
      </c>
      <c r="P604" t="inlineStr">
        <is>
          <t>nyu</t>
        </is>
      </c>
      <c r="R604" t="inlineStr">
        <is>
          <t xml:space="preserve">BV </t>
        </is>
      </c>
      <c r="S604" t="n">
        <v>2</v>
      </c>
      <c r="T604" t="n">
        <v>2</v>
      </c>
      <c r="U604" t="inlineStr">
        <is>
          <t>2002-08-06</t>
        </is>
      </c>
      <c r="V604" t="inlineStr">
        <is>
          <t>2002-08-06</t>
        </is>
      </c>
      <c r="W604" t="inlineStr">
        <is>
          <t>2002-08-06</t>
        </is>
      </c>
      <c r="X604" t="inlineStr">
        <is>
          <t>2002-08-06</t>
        </is>
      </c>
      <c r="Y604" t="n">
        <v>304</v>
      </c>
      <c r="Z604" t="n">
        <v>273</v>
      </c>
      <c r="AA604" t="n">
        <v>338</v>
      </c>
      <c r="AB604" t="n">
        <v>3</v>
      </c>
      <c r="AC604" t="n">
        <v>3</v>
      </c>
      <c r="AD604" t="n">
        <v>15</v>
      </c>
      <c r="AE604" t="n">
        <v>20</v>
      </c>
      <c r="AF604" t="n">
        <v>3</v>
      </c>
      <c r="AG604" t="n">
        <v>6</v>
      </c>
      <c r="AH604" t="n">
        <v>5</v>
      </c>
      <c r="AI604" t="n">
        <v>5</v>
      </c>
      <c r="AJ604" t="n">
        <v>11</v>
      </c>
      <c r="AK604" t="n">
        <v>16</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HYPERLINK("https://creighton-primo.hosted.exlibrisgroup.com/primo-explore/search?tab=default_tab&amp;search_scope=EVERYTHING&amp;vid=01CRU&amp;lang=en_US&amp;offset=0&amp;query=any,contains,991003852679702656","Catalog Record")</f>
        <v/>
      </c>
      <c r="AT604">
        <f>HYPERLINK("http://www.worldcat.org/oclc/10558022","WorldCat Record")</f>
        <v/>
      </c>
      <c r="AU604" t="inlineStr">
        <is>
          <t>2876816:eng</t>
        </is>
      </c>
      <c r="AV604" t="inlineStr">
        <is>
          <t>10558022</t>
        </is>
      </c>
      <c r="AW604" t="inlineStr">
        <is>
          <t>991003852679702656</t>
        </is>
      </c>
      <c r="AX604" t="inlineStr">
        <is>
          <t>991003852679702656</t>
        </is>
      </c>
      <c r="AY604" t="inlineStr">
        <is>
          <t>2272531420002656</t>
        </is>
      </c>
      <c r="AZ604" t="inlineStr">
        <is>
          <t>BOOK</t>
        </is>
      </c>
      <c r="BB604" t="inlineStr">
        <is>
          <t>9780385196352</t>
        </is>
      </c>
      <c r="BC604" t="inlineStr">
        <is>
          <t>32285004642277</t>
        </is>
      </c>
      <c r="BD604" t="inlineStr">
        <is>
          <t>893627814</t>
        </is>
      </c>
    </row>
    <row r="605">
      <c r="A605" t="inlineStr">
        <is>
          <t>No</t>
        </is>
      </c>
      <c r="B605" t="inlineStr">
        <is>
          <t>BV4501.2 .W53 2000</t>
        </is>
      </c>
      <c r="C605" t="inlineStr">
        <is>
          <t>0                      BV 4501200W  53          2000</t>
        </is>
      </c>
      <c r="D605" t="inlineStr">
        <is>
          <t>Everyday simplicity : a practical guide to spiritual growth / Robert J. Wicks.</t>
        </is>
      </c>
      <c r="F605" t="inlineStr">
        <is>
          <t>No</t>
        </is>
      </c>
      <c r="G605" t="inlineStr">
        <is>
          <t>1</t>
        </is>
      </c>
      <c r="H605" t="inlineStr">
        <is>
          <t>No</t>
        </is>
      </c>
      <c r="I605" t="inlineStr">
        <is>
          <t>No</t>
        </is>
      </c>
      <c r="J605" t="inlineStr">
        <is>
          <t>0</t>
        </is>
      </c>
      <c r="K605" t="inlineStr">
        <is>
          <t>Wicks, Robert J.</t>
        </is>
      </c>
      <c r="L605" t="inlineStr">
        <is>
          <t>Notre Dame, Ind. : Sorin Books, c2000.</t>
        </is>
      </c>
      <c r="M605" t="inlineStr">
        <is>
          <t>2000</t>
        </is>
      </c>
      <c r="O605" t="inlineStr">
        <is>
          <t>eng</t>
        </is>
      </c>
      <c r="P605" t="inlineStr">
        <is>
          <t>inu</t>
        </is>
      </c>
      <c r="R605" t="inlineStr">
        <is>
          <t xml:space="preserve">BV </t>
        </is>
      </c>
      <c r="S605" t="n">
        <v>5</v>
      </c>
      <c r="T605" t="n">
        <v>5</v>
      </c>
      <c r="U605" t="inlineStr">
        <is>
          <t>2004-06-21</t>
        </is>
      </c>
      <c r="V605" t="inlineStr">
        <is>
          <t>2004-06-21</t>
        </is>
      </c>
      <c r="W605" t="inlineStr">
        <is>
          <t>2000-03-21</t>
        </is>
      </c>
      <c r="X605" t="inlineStr">
        <is>
          <t>2000-03-21</t>
        </is>
      </c>
      <c r="Y605" t="n">
        <v>151</v>
      </c>
      <c r="Z605" t="n">
        <v>134</v>
      </c>
      <c r="AA605" t="n">
        <v>139</v>
      </c>
      <c r="AB605" t="n">
        <v>2</v>
      </c>
      <c r="AC605" t="n">
        <v>2</v>
      </c>
      <c r="AD605" t="n">
        <v>5</v>
      </c>
      <c r="AE605" t="n">
        <v>5</v>
      </c>
      <c r="AF605" t="n">
        <v>1</v>
      </c>
      <c r="AG605" t="n">
        <v>1</v>
      </c>
      <c r="AH605" t="n">
        <v>2</v>
      </c>
      <c r="AI605" t="n">
        <v>2</v>
      </c>
      <c r="AJ605" t="n">
        <v>4</v>
      </c>
      <c r="AK605" t="n">
        <v>4</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HYPERLINK("https://creighton-primo.hosted.exlibrisgroup.com/primo-explore/search?tab=default_tab&amp;search_scope=EVERYTHING&amp;vid=01CRU&amp;lang=en_US&amp;offset=0&amp;query=any,contains,991003053309702656","Catalog Record")</f>
        <v/>
      </c>
      <c r="AT605">
        <f>HYPERLINK("http://www.worldcat.org/oclc/43442596","WorldCat Record")</f>
        <v/>
      </c>
      <c r="AU605" t="inlineStr">
        <is>
          <t>2551590810:eng</t>
        </is>
      </c>
      <c r="AV605" t="inlineStr">
        <is>
          <t>43442596</t>
        </is>
      </c>
      <c r="AW605" t="inlineStr">
        <is>
          <t>991003053309702656</t>
        </is>
      </c>
      <c r="AX605" t="inlineStr">
        <is>
          <t>991003053309702656</t>
        </is>
      </c>
      <c r="AY605" t="inlineStr">
        <is>
          <t>2270587930002656</t>
        </is>
      </c>
      <c r="AZ605" t="inlineStr">
        <is>
          <t>BOOK</t>
        </is>
      </c>
      <c r="BB605" t="inlineStr">
        <is>
          <t>9781893732124</t>
        </is>
      </c>
      <c r="BC605" t="inlineStr">
        <is>
          <t>32285003672994</t>
        </is>
      </c>
      <c r="BD605" t="inlineStr">
        <is>
          <t>893251980</t>
        </is>
      </c>
    </row>
    <row r="606">
      <c r="A606" t="inlineStr">
        <is>
          <t>No</t>
        </is>
      </c>
      <c r="B606" t="inlineStr">
        <is>
          <t>BV4501.2.M37 P7</t>
        </is>
      </c>
      <c r="C606" t="inlineStr">
        <is>
          <t>0                      BV 4501200M  37                 P  7</t>
        </is>
      </c>
      <c r="D606" t="inlineStr">
        <is>
          <t>Protestants and Catholics on the Spiritual Life / edited by Michael Marx, O.S.B.</t>
        </is>
      </c>
      <c r="F606" t="inlineStr">
        <is>
          <t>No</t>
        </is>
      </c>
      <c r="G606" t="inlineStr">
        <is>
          <t>1</t>
        </is>
      </c>
      <c r="H606" t="inlineStr">
        <is>
          <t>No</t>
        </is>
      </c>
      <c r="I606" t="inlineStr">
        <is>
          <t>No</t>
        </is>
      </c>
      <c r="J606" t="inlineStr">
        <is>
          <t>0</t>
        </is>
      </c>
      <c r="K606" t="inlineStr">
        <is>
          <t>Marx, Michael, 1913-1993, editor.</t>
        </is>
      </c>
      <c r="L606" t="inlineStr">
        <is>
          <t>Collegeville, Minnesota The Liturgical Press [1965]</t>
        </is>
      </c>
      <c r="M606" t="inlineStr">
        <is>
          <t>1965</t>
        </is>
      </c>
      <c r="O606" t="inlineStr">
        <is>
          <t>eng</t>
        </is>
      </c>
      <c r="P606" t="inlineStr">
        <is>
          <t xml:space="preserve">xx </t>
        </is>
      </c>
      <c r="R606" t="inlineStr">
        <is>
          <t xml:space="preserve">BV </t>
        </is>
      </c>
      <c r="S606" t="n">
        <v>4</v>
      </c>
      <c r="T606" t="n">
        <v>4</v>
      </c>
      <c r="U606" t="inlineStr">
        <is>
          <t>1994-06-29</t>
        </is>
      </c>
      <c r="V606" t="inlineStr">
        <is>
          <t>1994-06-29</t>
        </is>
      </c>
      <c r="W606" t="inlineStr">
        <is>
          <t>1992-02-26</t>
        </is>
      </c>
      <c r="X606" t="inlineStr">
        <is>
          <t>1992-02-26</t>
        </is>
      </c>
      <c r="Y606" t="n">
        <v>94</v>
      </c>
      <c r="Z606" t="n">
        <v>84</v>
      </c>
      <c r="AA606" t="n">
        <v>84</v>
      </c>
      <c r="AB606" t="n">
        <v>1</v>
      </c>
      <c r="AC606" t="n">
        <v>1</v>
      </c>
      <c r="AD606" t="n">
        <v>11</v>
      </c>
      <c r="AE606" t="n">
        <v>11</v>
      </c>
      <c r="AF606" t="n">
        <v>4</v>
      </c>
      <c r="AG606" t="n">
        <v>4</v>
      </c>
      <c r="AH606" t="n">
        <v>3</v>
      </c>
      <c r="AI606" t="n">
        <v>3</v>
      </c>
      <c r="AJ606" t="n">
        <v>6</v>
      </c>
      <c r="AK606" t="n">
        <v>6</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HYPERLINK("https://creighton-primo.hosted.exlibrisgroup.com/primo-explore/search?tab=default_tab&amp;search_scope=EVERYTHING&amp;vid=01CRU&amp;lang=en_US&amp;offset=0&amp;query=any,contains,991004908579702656","Catalog Record")</f>
        <v/>
      </c>
      <c r="AT606">
        <f>HYPERLINK("http://www.worldcat.org/oclc/5972324","WorldCat Record")</f>
        <v/>
      </c>
      <c r="AU606" t="inlineStr">
        <is>
          <t>20748752:eng</t>
        </is>
      </c>
      <c r="AV606" t="inlineStr">
        <is>
          <t>5972324</t>
        </is>
      </c>
      <c r="AW606" t="inlineStr">
        <is>
          <t>991004908579702656</t>
        </is>
      </c>
      <c r="AX606" t="inlineStr">
        <is>
          <t>991004908579702656</t>
        </is>
      </c>
      <c r="AY606" t="inlineStr">
        <is>
          <t>2265948810002656</t>
        </is>
      </c>
      <c r="AZ606" t="inlineStr">
        <is>
          <t>BOOK</t>
        </is>
      </c>
      <c r="BC606" t="inlineStr">
        <is>
          <t>32285000966746</t>
        </is>
      </c>
      <c r="BD606" t="inlineStr">
        <is>
          <t>893700810</t>
        </is>
      </c>
    </row>
    <row r="607">
      <c r="A607" t="inlineStr">
        <is>
          <t>No</t>
        </is>
      </c>
      <c r="B607" t="inlineStr">
        <is>
          <t>BV4501.3 .J66 2001</t>
        </is>
      </c>
      <c r="C607" t="inlineStr">
        <is>
          <t>0                      BV 4501300J  66          2001</t>
        </is>
      </c>
      <c r="D607" t="inlineStr">
        <is>
          <t>Rufus Jones : essential writings / Rufus Jones ; selected with an introduction by Kerry Walters.</t>
        </is>
      </c>
      <c r="F607" t="inlineStr">
        <is>
          <t>No</t>
        </is>
      </c>
      <c r="G607" t="inlineStr">
        <is>
          <t>1</t>
        </is>
      </c>
      <c r="H607" t="inlineStr">
        <is>
          <t>No</t>
        </is>
      </c>
      <c r="I607" t="inlineStr">
        <is>
          <t>No</t>
        </is>
      </c>
      <c r="J607" t="inlineStr">
        <is>
          <t>0</t>
        </is>
      </c>
      <c r="K607" t="inlineStr">
        <is>
          <t>Jones, Rufus M. (Rufus Matthew), 1863-1948.</t>
        </is>
      </c>
      <c r="L607" t="inlineStr">
        <is>
          <t>Maryknoll, N.Y. : Orbis Books, 2001.</t>
        </is>
      </c>
      <c r="M607" t="inlineStr">
        <is>
          <t>2001</t>
        </is>
      </c>
      <c r="O607" t="inlineStr">
        <is>
          <t>eng</t>
        </is>
      </c>
      <c r="P607" t="inlineStr">
        <is>
          <t>nyu</t>
        </is>
      </c>
      <c r="Q607" t="inlineStr">
        <is>
          <t>Modern spiritual masters series</t>
        </is>
      </c>
      <c r="R607" t="inlineStr">
        <is>
          <t xml:space="preserve">BV </t>
        </is>
      </c>
      <c r="S607" t="n">
        <v>1</v>
      </c>
      <c r="T607" t="n">
        <v>1</v>
      </c>
      <c r="U607" t="inlineStr">
        <is>
          <t>2006-11-29</t>
        </is>
      </c>
      <c r="V607" t="inlineStr">
        <is>
          <t>2006-11-29</t>
        </is>
      </c>
      <c r="W607" t="inlineStr">
        <is>
          <t>2006-11-29</t>
        </is>
      </c>
      <c r="X607" t="inlineStr">
        <is>
          <t>2006-11-29</t>
        </is>
      </c>
      <c r="Y607" t="n">
        <v>166</v>
      </c>
      <c r="Z607" t="n">
        <v>147</v>
      </c>
      <c r="AA607" t="n">
        <v>149</v>
      </c>
      <c r="AB607" t="n">
        <v>2</v>
      </c>
      <c r="AC607" t="n">
        <v>2</v>
      </c>
      <c r="AD607" t="n">
        <v>16</v>
      </c>
      <c r="AE607" t="n">
        <v>16</v>
      </c>
      <c r="AF607" t="n">
        <v>6</v>
      </c>
      <c r="AG607" t="n">
        <v>6</v>
      </c>
      <c r="AH607" t="n">
        <v>4</v>
      </c>
      <c r="AI607" t="n">
        <v>4</v>
      </c>
      <c r="AJ607" t="n">
        <v>9</v>
      </c>
      <c r="AK607" t="n">
        <v>9</v>
      </c>
      <c r="AL607" t="n">
        <v>1</v>
      </c>
      <c r="AM607" t="n">
        <v>1</v>
      </c>
      <c r="AN607" t="n">
        <v>0</v>
      </c>
      <c r="AO607" t="n">
        <v>0</v>
      </c>
      <c r="AP607" t="inlineStr">
        <is>
          <t>No</t>
        </is>
      </c>
      <c r="AQ607" t="inlineStr">
        <is>
          <t>Yes</t>
        </is>
      </c>
      <c r="AR607">
        <f>HYPERLINK("http://catalog.hathitrust.org/Record/004217276","HathiTrust Record")</f>
        <v/>
      </c>
      <c r="AS607">
        <f>HYPERLINK("https://creighton-primo.hosted.exlibrisgroup.com/primo-explore/search?tab=default_tab&amp;search_scope=EVERYTHING&amp;vid=01CRU&amp;lang=en_US&amp;offset=0&amp;query=any,contains,991004950729702656","Catalog Record")</f>
        <v/>
      </c>
      <c r="AT607">
        <f>HYPERLINK("http://www.worldcat.org/oclc/47443978","WorldCat Record")</f>
        <v/>
      </c>
      <c r="AU607" t="inlineStr">
        <is>
          <t>1059219901:eng</t>
        </is>
      </c>
      <c r="AV607" t="inlineStr">
        <is>
          <t>47443978</t>
        </is>
      </c>
      <c r="AW607" t="inlineStr">
        <is>
          <t>991004950729702656</t>
        </is>
      </c>
      <c r="AX607" t="inlineStr">
        <is>
          <t>991004950729702656</t>
        </is>
      </c>
      <c r="AY607" t="inlineStr">
        <is>
          <t>2257005870002656</t>
        </is>
      </c>
      <c r="AZ607" t="inlineStr">
        <is>
          <t>BOOK</t>
        </is>
      </c>
      <c r="BB607" t="inlineStr">
        <is>
          <t>9781570753800</t>
        </is>
      </c>
      <c r="BC607" t="inlineStr">
        <is>
          <t>32285005263115</t>
        </is>
      </c>
      <c r="BD607" t="inlineStr">
        <is>
          <t>893801531</t>
        </is>
      </c>
    </row>
    <row r="608">
      <c r="A608" t="inlineStr">
        <is>
          <t>No</t>
        </is>
      </c>
      <c r="B608" t="inlineStr">
        <is>
          <t>BV4501.3 .P475 2005</t>
        </is>
      </c>
      <c r="C608" t="inlineStr">
        <is>
          <t>0                      BV 4501300P  475         2005</t>
        </is>
      </c>
      <c r="D608" t="inlineStr">
        <is>
          <t>Christ plays in ten thousand places : a conversation in spiritual theology / Eugene H. Peterson.</t>
        </is>
      </c>
      <c r="F608" t="inlineStr">
        <is>
          <t>No</t>
        </is>
      </c>
      <c r="G608" t="inlineStr">
        <is>
          <t>1</t>
        </is>
      </c>
      <c r="H608" t="inlineStr">
        <is>
          <t>No</t>
        </is>
      </c>
      <c r="I608" t="inlineStr">
        <is>
          <t>No</t>
        </is>
      </c>
      <c r="J608" t="inlineStr">
        <is>
          <t>0</t>
        </is>
      </c>
      <c r="K608" t="inlineStr">
        <is>
          <t>Peterson, Eugene H., 1932-2018.</t>
        </is>
      </c>
      <c r="L608" t="inlineStr">
        <is>
          <t>Grand Rapids, Mich. : W.B. Eerdmans, c2005.</t>
        </is>
      </c>
      <c r="M608" t="inlineStr">
        <is>
          <t>2005</t>
        </is>
      </c>
      <c r="O608" t="inlineStr">
        <is>
          <t>eng</t>
        </is>
      </c>
      <c r="P608" t="inlineStr">
        <is>
          <t>miu</t>
        </is>
      </c>
      <c r="R608" t="inlineStr">
        <is>
          <t xml:space="preserve">BV </t>
        </is>
      </c>
      <c r="S608" t="n">
        <v>2</v>
      </c>
      <c r="T608" t="n">
        <v>2</v>
      </c>
      <c r="U608" t="inlineStr">
        <is>
          <t>2009-07-20</t>
        </is>
      </c>
      <c r="V608" t="inlineStr">
        <is>
          <t>2009-07-20</t>
        </is>
      </c>
      <c r="W608" t="inlineStr">
        <is>
          <t>2006-02-03</t>
        </is>
      </c>
      <c r="X608" t="inlineStr">
        <is>
          <t>2006-02-03</t>
        </is>
      </c>
      <c r="Y608" t="n">
        <v>579</v>
      </c>
      <c r="Z608" t="n">
        <v>512</v>
      </c>
      <c r="AA608" t="n">
        <v>565</v>
      </c>
      <c r="AB608" t="n">
        <v>4</v>
      </c>
      <c r="AC608" t="n">
        <v>5</v>
      </c>
      <c r="AD608" t="n">
        <v>17</v>
      </c>
      <c r="AE608" t="n">
        <v>19</v>
      </c>
      <c r="AF608" t="n">
        <v>8</v>
      </c>
      <c r="AG608" t="n">
        <v>9</v>
      </c>
      <c r="AH608" t="n">
        <v>3</v>
      </c>
      <c r="AI608" t="n">
        <v>4</v>
      </c>
      <c r="AJ608" t="n">
        <v>6</v>
      </c>
      <c r="AK608" t="n">
        <v>6</v>
      </c>
      <c r="AL608" t="n">
        <v>3</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HYPERLINK("https://creighton-primo.hosted.exlibrisgroup.com/primo-explore/search?tab=default_tab&amp;search_scope=EVERYTHING&amp;vid=01CRU&amp;lang=en_US&amp;offset=0&amp;query=any,contains,991004708789702656","Catalog Record")</f>
        <v/>
      </c>
      <c r="AT608">
        <f>HYPERLINK("http://www.worldcat.org/oclc/56598605","WorldCat Record")</f>
        <v/>
      </c>
      <c r="AU608" t="inlineStr">
        <is>
          <t>175008:eng</t>
        </is>
      </c>
      <c r="AV608" t="inlineStr">
        <is>
          <t>56598605</t>
        </is>
      </c>
      <c r="AW608" t="inlineStr">
        <is>
          <t>991004708789702656</t>
        </is>
      </c>
      <c r="AX608" t="inlineStr">
        <is>
          <t>991004708789702656</t>
        </is>
      </c>
      <c r="AY608" t="inlineStr">
        <is>
          <t>2262005720002656</t>
        </is>
      </c>
      <c r="AZ608" t="inlineStr">
        <is>
          <t>BOOK</t>
        </is>
      </c>
      <c r="BB608" t="inlineStr">
        <is>
          <t>9780802828750</t>
        </is>
      </c>
      <c r="BC608" t="inlineStr">
        <is>
          <t>32285005156855</t>
        </is>
      </c>
      <c r="BD608" t="inlineStr">
        <is>
          <t>893618983</t>
        </is>
      </c>
    </row>
    <row r="609">
      <c r="A609" t="inlineStr">
        <is>
          <t>No</t>
        </is>
      </c>
      <c r="B609" t="inlineStr">
        <is>
          <t>BV4501.3 .R535 2005</t>
        </is>
      </c>
      <c r="C609" t="inlineStr">
        <is>
          <t>0                      BV 4501300R  535         2005</t>
        </is>
      </c>
      <c r="D609" t="inlineStr">
        <is>
          <t>So much more : an invitation to Christian spirituality / Debra Rienstra.</t>
        </is>
      </c>
      <c r="F609" t="inlineStr">
        <is>
          <t>No</t>
        </is>
      </c>
      <c r="G609" t="inlineStr">
        <is>
          <t>1</t>
        </is>
      </c>
      <c r="H609" t="inlineStr">
        <is>
          <t>No</t>
        </is>
      </c>
      <c r="I609" t="inlineStr">
        <is>
          <t>No</t>
        </is>
      </c>
      <c r="J609" t="inlineStr">
        <is>
          <t>0</t>
        </is>
      </c>
      <c r="K609" t="inlineStr">
        <is>
          <t>Rienstra, Debra.</t>
        </is>
      </c>
      <c r="L609" t="inlineStr">
        <is>
          <t>San Francisco : Jossey-Bass, c2005.</t>
        </is>
      </c>
      <c r="M609" t="inlineStr">
        <is>
          <t>2005</t>
        </is>
      </c>
      <c r="N609" t="inlineStr">
        <is>
          <t>1st ed.</t>
        </is>
      </c>
      <c r="O609" t="inlineStr">
        <is>
          <t>eng</t>
        </is>
      </c>
      <c r="P609" t="inlineStr">
        <is>
          <t>cau</t>
        </is>
      </c>
      <c r="R609" t="inlineStr">
        <is>
          <t xml:space="preserve">BV </t>
        </is>
      </c>
      <c r="S609" t="n">
        <v>3</v>
      </c>
      <c r="T609" t="n">
        <v>3</v>
      </c>
      <c r="U609" t="inlineStr">
        <is>
          <t>2007-07-29</t>
        </is>
      </c>
      <c r="V609" t="inlineStr">
        <is>
          <t>2007-07-29</t>
        </is>
      </c>
      <c r="W609" t="inlineStr">
        <is>
          <t>2006-04-24</t>
        </is>
      </c>
      <c r="X609" t="inlineStr">
        <is>
          <t>2006-04-24</t>
        </is>
      </c>
      <c r="Y609" t="n">
        <v>181</v>
      </c>
      <c r="Z609" t="n">
        <v>158</v>
      </c>
      <c r="AA609" t="n">
        <v>163</v>
      </c>
      <c r="AB609" t="n">
        <v>2</v>
      </c>
      <c r="AC609" t="n">
        <v>2</v>
      </c>
      <c r="AD609" t="n">
        <v>4</v>
      </c>
      <c r="AE609" t="n">
        <v>4</v>
      </c>
      <c r="AF609" t="n">
        <v>3</v>
      </c>
      <c r="AG609" t="n">
        <v>3</v>
      </c>
      <c r="AH609" t="n">
        <v>0</v>
      </c>
      <c r="AI609" t="n">
        <v>0</v>
      </c>
      <c r="AJ609" t="n">
        <v>1</v>
      </c>
      <c r="AK609" t="n">
        <v>1</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HYPERLINK("https://creighton-primo.hosted.exlibrisgroup.com/primo-explore/search?tab=default_tab&amp;search_scope=EVERYTHING&amp;vid=01CRU&amp;lang=en_US&amp;offset=0&amp;query=any,contains,991004781299702656","Catalog Record")</f>
        <v/>
      </c>
      <c r="AT609">
        <f>HYPERLINK("http://www.worldcat.org/oclc/56840496","WorldCat Record")</f>
        <v/>
      </c>
      <c r="AU609" t="inlineStr">
        <is>
          <t>18179425:eng</t>
        </is>
      </c>
      <c r="AV609" t="inlineStr">
        <is>
          <t>56840496</t>
        </is>
      </c>
      <c r="AW609" t="inlineStr">
        <is>
          <t>991004781299702656</t>
        </is>
      </c>
      <c r="AX609" t="inlineStr">
        <is>
          <t>991004781299702656</t>
        </is>
      </c>
      <c r="AY609" t="inlineStr">
        <is>
          <t>2256156490002656</t>
        </is>
      </c>
      <c r="AZ609" t="inlineStr">
        <is>
          <t>BOOK</t>
        </is>
      </c>
      <c r="BB609" t="inlineStr">
        <is>
          <t>9780787968878</t>
        </is>
      </c>
      <c r="BC609" t="inlineStr">
        <is>
          <t>32285005182398</t>
        </is>
      </c>
      <c r="BD609" t="inlineStr">
        <is>
          <t>893606470</t>
        </is>
      </c>
    </row>
    <row r="610">
      <c r="A610" t="inlineStr">
        <is>
          <t>No</t>
        </is>
      </c>
      <c r="B610" t="inlineStr">
        <is>
          <t>BV4501.3 .S74 2001</t>
        </is>
      </c>
      <c r="C610" t="inlineStr">
        <is>
          <t>0                      BV 4501300S  74          2001</t>
        </is>
      </c>
      <c r="D610" t="inlineStr">
        <is>
          <t>The God instinct : heeding your heart's unrest / Tom Stella.</t>
        </is>
      </c>
      <c r="F610" t="inlineStr">
        <is>
          <t>No</t>
        </is>
      </c>
      <c r="G610" t="inlineStr">
        <is>
          <t>1</t>
        </is>
      </c>
      <c r="H610" t="inlineStr">
        <is>
          <t>No</t>
        </is>
      </c>
      <c r="I610" t="inlineStr">
        <is>
          <t>No</t>
        </is>
      </c>
      <c r="J610" t="inlineStr">
        <is>
          <t>0</t>
        </is>
      </c>
      <c r="K610" t="inlineStr">
        <is>
          <t>Stella, Tom.</t>
        </is>
      </c>
      <c r="L610" t="inlineStr">
        <is>
          <t>Notre Dame, Ind. : Sorin Books, 2001.</t>
        </is>
      </c>
      <c r="M610" t="inlineStr">
        <is>
          <t>2001</t>
        </is>
      </c>
      <c r="O610" t="inlineStr">
        <is>
          <t>eng</t>
        </is>
      </c>
      <c r="P610" t="inlineStr">
        <is>
          <t>inu</t>
        </is>
      </c>
      <c r="R610" t="inlineStr">
        <is>
          <t xml:space="preserve">BV </t>
        </is>
      </c>
      <c r="S610" t="n">
        <v>3</v>
      </c>
      <c r="T610" t="n">
        <v>3</v>
      </c>
      <c r="U610" t="inlineStr">
        <is>
          <t>2003-09-08</t>
        </is>
      </c>
      <c r="V610" t="inlineStr">
        <is>
          <t>2003-09-08</t>
        </is>
      </c>
      <c r="W610" t="inlineStr">
        <is>
          <t>2001-11-05</t>
        </is>
      </c>
      <c r="X610" t="inlineStr">
        <is>
          <t>2001-11-05</t>
        </is>
      </c>
      <c r="Y610" t="n">
        <v>84</v>
      </c>
      <c r="Z610" t="n">
        <v>75</v>
      </c>
      <c r="AA610" t="n">
        <v>75</v>
      </c>
      <c r="AB610" t="n">
        <v>1</v>
      </c>
      <c r="AC610" t="n">
        <v>1</v>
      </c>
      <c r="AD610" t="n">
        <v>3</v>
      </c>
      <c r="AE610" t="n">
        <v>3</v>
      </c>
      <c r="AF610" t="n">
        <v>0</v>
      </c>
      <c r="AG610" t="n">
        <v>0</v>
      </c>
      <c r="AH610" t="n">
        <v>1</v>
      </c>
      <c r="AI610" t="n">
        <v>1</v>
      </c>
      <c r="AJ610" t="n">
        <v>2</v>
      </c>
      <c r="AK610" t="n">
        <v>2</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HYPERLINK("https://creighton-primo.hosted.exlibrisgroup.com/primo-explore/search?tab=default_tab&amp;search_scope=EVERYTHING&amp;vid=01CRU&amp;lang=en_US&amp;offset=0&amp;query=any,contains,991003668549702656","Catalog Record")</f>
        <v/>
      </c>
      <c r="AT610">
        <f>HYPERLINK("http://www.worldcat.org/oclc/47092355","WorldCat Record")</f>
        <v/>
      </c>
      <c r="AU610" t="inlineStr">
        <is>
          <t>36496932:eng</t>
        </is>
      </c>
      <c r="AV610" t="inlineStr">
        <is>
          <t>47092355</t>
        </is>
      </c>
      <c r="AW610" t="inlineStr">
        <is>
          <t>991003668549702656</t>
        </is>
      </c>
      <c r="AX610" t="inlineStr">
        <is>
          <t>991003668549702656</t>
        </is>
      </c>
      <c r="AY610" t="inlineStr">
        <is>
          <t>2269664140002656</t>
        </is>
      </c>
      <c r="AZ610" t="inlineStr">
        <is>
          <t>BOOK</t>
        </is>
      </c>
      <c r="BB610" t="inlineStr">
        <is>
          <t>9781893732322</t>
        </is>
      </c>
      <c r="BC610" t="inlineStr">
        <is>
          <t>32285004417878</t>
        </is>
      </c>
      <c r="BD610" t="inlineStr">
        <is>
          <t>893330635</t>
        </is>
      </c>
    </row>
    <row r="611">
      <c r="A611" t="inlineStr">
        <is>
          <t>No</t>
        </is>
      </c>
      <c r="B611" t="inlineStr">
        <is>
          <t>BV4501.3 .W53 2001</t>
        </is>
      </c>
      <c r="C611" t="inlineStr">
        <is>
          <t>0                      BV 4501300W  53          2001</t>
        </is>
      </c>
      <c r="D611" t="inlineStr">
        <is>
          <t>Snow falling on snow : themes from the spiritual landscape of Robert J. Wicks / Robert J. Wicks.</t>
        </is>
      </c>
      <c r="F611" t="inlineStr">
        <is>
          <t>No</t>
        </is>
      </c>
      <c r="G611" t="inlineStr">
        <is>
          <t>1</t>
        </is>
      </c>
      <c r="H611" t="inlineStr">
        <is>
          <t>No</t>
        </is>
      </c>
      <c r="I611" t="inlineStr">
        <is>
          <t>No</t>
        </is>
      </c>
      <c r="J611" t="inlineStr">
        <is>
          <t>0</t>
        </is>
      </c>
      <c r="K611" t="inlineStr">
        <is>
          <t>Wicks, Robert J.</t>
        </is>
      </c>
      <c r="L611" t="inlineStr">
        <is>
          <t>New York : Paulist Press, c2001.</t>
        </is>
      </c>
      <c r="M611" t="inlineStr">
        <is>
          <t>2001</t>
        </is>
      </c>
      <c r="O611" t="inlineStr">
        <is>
          <t>eng</t>
        </is>
      </c>
      <c r="P611" t="inlineStr">
        <is>
          <t>nyu</t>
        </is>
      </c>
      <c r="R611" t="inlineStr">
        <is>
          <t xml:space="preserve">BV </t>
        </is>
      </c>
      <c r="S611" t="n">
        <v>2</v>
      </c>
      <c r="T611" t="n">
        <v>2</v>
      </c>
      <c r="U611" t="inlineStr">
        <is>
          <t>2002-04-16</t>
        </is>
      </c>
      <c r="V611" t="inlineStr">
        <is>
          <t>2002-04-16</t>
        </is>
      </c>
      <c r="W611" t="inlineStr">
        <is>
          <t>2002-04-01</t>
        </is>
      </c>
      <c r="X611" t="inlineStr">
        <is>
          <t>2002-04-01</t>
        </is>
      </c>
      <c r="Y611" t="n">
        <v>62</v>
      </c>
      <c r="Z611" t="n">
        <v>59</v>
      </c>
      <c r="AA611" t="n">
        <v>63</v>
      </c>
      <c r="AB611" t="n">
        <v>1</v>
      </c>
      <c r="AC611" t="n">
        <v>1</v>
      </c>
      <c r="AD611" t="n">
        <v>5</v>
      </c>
      <c r="AE611" t="n">
        <v>5</v>
      </c>
      <c r="AF611" t="n">
        <v>2</v>
      </c>
      <c r="AG611" t="n">
        <v>2</v>
      </c>
      <c r="AH611" t="n">
        <v>1</v>
      </c>
      <c r="AI611" t="n">
        <v>1</v>
      </c>
      <c r="AJ611" t="n">
        <v>3</v>
      </c>
      <c r="AK611" t="n">
        <v>3</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HYPERLINK("https://creighton-primo.hosted.exlibrisgroup.com/primo-explore/search?tab=default_tab&amp;search_scope=EVERYTHING&amp;vid=01CRU&amp;lang=en_US&amp;offset=0&amp;query=any,contains,991003762959702656","Catalog Record")</f>
        <v/>
      </c>
      <c r="AT611">
        <f>HYPERLINK("http://www.worldcat.org/oclc/45283095","WorldCat Record")</f>
        <v/>
      </c>
      <c r="AU611" t="inlineStr">
        <is>
          <t>2755365:eng</t>
        </is>
      </c>
      <c r="AV611" t="inlineStr">
        <is>
          <t>45283095</t>
        </is>
      </c>
      <c r="AW611" t="inlineStr">
        <is>
          <t>991003762959702656</t>
        </is>
      </c>
      <c r="AX611" t="inlineStr">
        <is>
          <t>991003762959702656</t>
        </is>
      </c>
      <c r="AY611" t="inlineStr">
        <is>
          <t>2271960020002656</t>
        </is>
      </c>
      <c r="AZ611" t="inlineStr">
        <is>
          <t>BOOK</t>
        </is>
      </c>
      <c r="BB611" t="inlineStr">
        <is>
          <t>9780809105311</t>
        </is>
      </c>
      <c r="BC611" t="inlineStr">
        <is>
          <t>32285004475397</t>
        </is>
      </c>
      <c r="BD611" t="inlineStr">
        <is>
          <t>893228431</t>
        </is>
      </c>
    </row>
    <row r="612">
      <c r="A612" t="inlineStr">
        <is>
          <t>No</t>
        </is>
      </c>
      <c r="B612" t="inlineStr">
        <is>
          <t>BV4501.3 .W5427 2005</t>
        </is>
      </c>
      <c r="C612" t="inlineStr">
        <is>
          <t>0                      BV 4501300W  5427        2005</t>
        </is>
      </c>
      <c r="D612" t="inlineStr">
        <is>
          <t>Wilderness : essays in honour of Frances Young / edited by R.S. Sugirtharajah.</t>
        </is>
      </c>
      <c r="F612" t="inlineStr">
        <is>
          <t>No</t>
        </is>
      </c>
      <c r="G612" t="inlineStr">
        <is>
          <t>1</t>
        </is>
      </c>
      <c r="H612" t="inlineStr">
        <is>
          <t>No</t>
        </is>
      </c>
      <c r="I612" t="inlineStr">
        <is>
          <t>No</t>
        </is>
      </c>
      <c r="J612" t="inlineStr">
        <is>
          <t>0</t>
        </is>
      </c>
      <c r="L612" t="inlineStr">
        <is>
          <t>London ; New York : T &amp; T Clark International, c2005.</t>
        </is>
      </c>
      <c r="M612" t="inlineStr">
        <is>
          <t>2005</t>
        </is>
      </c>
      <c r="O612" t="inlineStr">
        <is>
          <t>eng</t>
        </is>
      </c>
      <c r="P612" t="inlineStr">
        <is>
          <t>enk</t>
        </is>
      </c>
      <c r="Q612" t="inlineStr">
        <is>
          <t>Library of New Testament studies ; 295</t>
        </is>
      </c>
      <c r="R612" t="inlineStr">
        <is>
          <t xml:space="preserve">BV </t>
        </is>
      </c>
      <c r="S612" t="n">
        <v>1</v>
      </c>
      <c r="T612" t="n">
        <v>1</v>
      </c>
      <c r="U612" t="inlineStr">
        <is>
          <t>2007-10-17</t>
        </is>
      </c>
      <c r="V612" t="inlineStr">
        <is>
          <t>2007-10-17</t>
        </is>
      </c>
      <c r="W612" t="inlineStr">
        <is>
          <t>2006-02-13</t>
        </is>
      </c>
      <c r="X612" t="inlineStr">
        <is>
          <t>2006-02-13</t>
        </is>
      </c>
      <c r="Y612" t="n">
        <v>143</v>
      </c>
      <c r="Z612" t="n">
        <v>113</v>
      </c>
      <c r="AA612" t="n">
        <v>118</v>
      </c>
      <c r="AB612" t="n">
        <v>1</v>
      </c>
      <c r="AC612" t="n">
        <v>1</v>
      </c>
      <c r="AD612" t="n">
        <v>7</v>
      </c>
      <c r="AE612" t="n">
        <v>7</v>
      </c>
      <c r="AF612" t="n">
        <v>3</v>
      </c>
      <c r="AG612" t="n">
        <v>3</v>
      </c>
      <c r="AH612" t="n">
        <v>2</v>
      </c>
      <c r="AI612" t="n">
        <v>2</v>
      </c>
      <c r="AJ612" t="n">
        <v>3</v>
      </c>
      <c r="AK612" t="n">
        <v>3</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HYPERLINK("https://creighton-primo.hosted.exlibrisgroup.com/primo-explore/search?tab=default_tab&amp;search_scope=EVERYTHING&amp;vid=01CRU&amp;lang=en_US&amp;offset=0&amp;query=any,contains,991004739069702656","Catalog Record")</f>
        <v/>
      </c>
      <c r="AT612">
        <f>HYPERLINK("http://www.worldcat.org/oclc/58478380","WorldCat Record")</f>
        <v/>
      </c>
      <c r="AU612" t="inlineStr">
        <is>
          <t>366770920:eng</t>
        </is>
      </c>
      <c r="AV612" t="inlineStr">
        <is>
          <t>58478380</t>
        </is>
      </c>
      <c r="AW612" t="inlineStr">
        <is>
          <t>991004739069702656</t>
        </is>
      </c>
      <c r="AX612" t="inlineStr">
        <is>
          <t>991004739069702656</t>
        </is>
      </c>
      <c r="AY612" t="inlineStr">
        <is>
          <t>2261594100002656</t>
        </is>
      </c>
      <c r="AZ612" t="inlineStr">
        <is>
          <t>BOOK</t>
        </is>
      </c>
      <c r="BB612" t="inlineStr">
        <is>
          <t>9780567041425</t>
        </is>
      </c>
      <c r="BC612" t="inlineStr">
        <is>
          <t>32285005158349</t>
        </is>
      </c>
      <c r="BD612" t="inlineStr">
        <is>
          <t>893417963</t>
        </is>
      </c>
    </row>
    <row r="613">
      <c r="A613" t="inlineStr">
        <is>
          <t>No</t>
        </is>
      </c>
      <c r="B613" t="inlineStr">
        <is>
          <t>BV4501.3 .Y363 2003</t>
        </is>
      </c>
      <c r="C613" t="inlineStr">
        <is>
          <t>0                      BV 4501300Y  363         2003</t>
        </is>
      </c>
      <c r="D613" t="inlineStr">
        <is>
          <t>Rumors of another world : what on earth are we missing? / Philip Yancey.</t>
        </is>
      </c>
      <c r="F613" t="inlineStr">
        <is>
          <t>No</t>
        </is>
      </c>
      <c r="G613" t="inlineStr">
        <is>
          <t>1</t>
        </is>
      </c>
      <c r="H613" t="inlineStr">
        <is>
          <t>No</t>
        </is>
      </c>
      <c r="I613" t="inlineStr">
        <is>
          <t>No</t>
        </is>
      </c>
      <c r="J613" t="inlineStr">
        <is>
          <t>0</t>
        </is>
      </c>
      <c r="K613" t="inlineStr">
        <is>
          <t>Yancey, Philip.</t>
        </is>
      </c>
      <c r="L613" t="inlineStr">
        <is>
          <t>Grand Rapids, Mich. : Zondervan, c2003.</t>
        </is>
      </c>
      <c r="M613" t="inlineStr">
        <is>
          <t>2003</t>
        </is>
      </c>
      <c r="O613" t="inlineStr">
        <is>
          <t>eng</t>
        </is>
      </c>
      <c r="P613" t="inlineStr">
        <is>
          <t>miu</t>
        </is>
      </c>
      <c r="R613" t="inlineStr">
        <is>
          <t xml:space="preserve">BV </t>
        </is>
      </c>
      <c r="S613" t="n">
        <v>2</v>
      </c>
      <c r="T613" t="n">
        <v>2</v>
      </c>
      <c r="U613" t="inlineStr">
        <is>
          <t>2003-10-15</t>
        </is>
      </c>
      <c r="V613" t="inlineStr">
        <is>
          <t>2003-10-15</t>
        </is>
      </c>
      <c r="W613" t="inlineStr">
        <is>
          <t>2003-09-22</t>
        </is>
      </c>
      <c r="X613" t="inlineStr">
        <is>
          <t>2003-09-22</t>
        </is>
      </c>
      <c r="Y613" t="n">
        <v>916</v>
      </c>
      <c r="Z613" t="n">
        <v>824</v>
      </c>
      <c r="AA613" t="n">
        <v>878</v>
      </c>
      <c r="AB613" t="n">
        <v>7</v>
      </c>
      <c r="AC613" t="n">
        <v>7</v>
      </c>
      <c r="AD613" t="n">
        <v>7</v>
      </c>
      <c r="AE613" t="n">
        <v>7</v>
      </c>
      <c r="AF613" t="n">
        <v>4</v>
      </c>
      <c r="AG613" t="n">
        <v>4</v>
      </c>
      <c r="AH613" t="n">
        <v>1</v>
      </c>
      <c r="AI613" t="n">
        <v>1</v>
      </c>
      <c r="AJ613" t="n">
        <v>1</v>
      </c>
      <c r="AK613" t="n">
        <v>1</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HYPERLINK("https://creighton-primo.hosted.exlibrisgroup.com/primo-explore/search?tab=default_tab&amp;search_scope=EVERYTHING&amp;vid=01CRU&amp;lang=en_US&amp;offset=0&amp;query=any,contains,991004119019702656","Catalog Record")</f>
        <v/>
      </c>
      <c r="AT613">
        <f>HYPERLINK("http://www.worldcat.org/oclc/52458839","WorldCat Record")</f>
        <v/>
      </c>
      <c r="AU613" t="inlineStr">
        <is>
          <t>1152220773:eng</t>
        </is>
      </c>
      <c r="AV613" t="inlineStr">
        <is>
          <t>52458839</t>
        </is>
      </c>
      <c r="AW613" t="inlineStr">
        <is>
          <t>991004119019702656</t>
        </is>
      </c>
      <c r="AX613" t="inlineStr">
        <is>
          <t>991004119019702656</t>
        </is>
      </c>
      <c r="AY613" t="inlineStr">
        <is>
          <t>2270265520002656</t>
        </is>
      </c>
      <c r="AZ613" t="inlineStr">
        <is>
          <t>BOOK</t>
        </is>
      </c>
      <c r="BB613" t="inlineStr">
        <is>
          <t>9780310252177</t>
        </is>
      </c>
      <c r="BC613" t="inlineStr">
        <is>
          <t>32285004784095</t>
        </is>
      </c>
      <c r="BD613" t="inlineStr">
        <is>
          <t>893810363</t>
        </is>
      </c>
    </row>
    <row r="614">
      <c r="A614" t="inlineStr">
        <is>
          <t>No</t>
        </is>
      </c>
      <c r="B614" t="inlineStr">
        <is>
          <t>BV4503 .M7613</t>
        </is>
      </c>
      <c r="C614" t="inlineStr">
        <is>
          <t>0                      BV 4503000M  7613</t>
        </is>
      </c>
      <c r="D614" t="inlineStr">
        <is>
          <t>A charismatic theology : initiation in the spirit / [by] Heribert Mühlen ; [translated from the German by Edward Quinn and Thomas Linton].</t>
        </is>
      </c>
      <c r="F614" t="inlineStr">
        <is>
          <t>No</t>
        </is>
      </c>
      <c r="G614" t="inlineStr">
        <is>
          <t>1</t>
        </is>
      </c>
      <c r="H614" t="inlineStr">
        <is>
          <t>No</t>
        </is>
      </c>
      <c r="I614" t="inlineStr">
        <is>
          <t>No</t>
        </is>
      </c>
      <c r="J614" t="inlineStr">
        <is>
          <t>0</t>
        </is>
      </c>
      <c r="K614" t="inlineStr">
        <is>
          <t>Mühlen, Heribert.</t>
        </is>
      </c>
      <c r="L614" t="inlineStr">
        <is>
          <t>London : Burns &amp; Oates ; New York : Paulist Press, 1978.</t>
        </is>
      </c>
      <c r="M614" t="inlineStr">
        <is>
          <t>1978</t>
        </is>
      </c>
      <c r="O614" t="inlineStr">
        <is>
          <t>eng</t>
        </is>
      </c>
      <c r="P614" t="inlineStr">
        <is>
          <t>enk</t>
        </is>
      </c>
      <c r="R614" t="inlineStr">
        <is>
          <t xml:space="preserve">BV </t>
        </is>
      </c>
      <c r="S614" t="n">
        <v>1</v>
      </c>
      <c r="T614" t="n">
        <v>1</v>
      </c>
      <c r="U614" t="inlineStr">
        <is>
          <t>2010-09-02</t>
        </is>
      </c>
      <c r="V614" t="inlineStr">
        <is>
          <t>2010-09-02</t>
        </is>
      </c>
      <c r="W614" t="inlineStr">
        <is>
          <t>1992-02-28</t>
        </is>
      </c>
      <c r="X614" t="inlineStr">
        <is>
          <t>1992-02-28</t>
        </is>
      </c>
      <c r="Y614" t="n">
        <v>274</v>
      </c>
      <c r="Z614" t="n">
        <v>212</v>
      </c>
      <c r="AA614" t="n">
        <v>217</v>
      </c>
      <c r="AB614" t="n">
        <v>3</v>
      </c>
      <c r="AC614" t="n">
        <v>3</v>
      </c>
      <c r="AD614" t="n">
        <v>18</v>
      </c>
      <c r="AE614" t="n">
        <v>18</v>
      </c>
      <c r="AF614" t="n">
        <v>3</v>
      </c>
      <c r="AG614" t="n">
        <v>3</v>
      </c>
      <c r="AH614" t="n">
        <v>6</v>
      </c>
      <c r="AI614" t="n">
        <v>6</v>
      </c>
      <c r="AJ614" t="n">
        <v>12</v>
      </c>
      <c r="AK614" t="n">
        <v>12</v>
      </c>
      <c r="AL614" t="n">
        <v>2</v>
      </c>
      <c r="AM614" t="n">
        <v>2</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HYPERLINK("https://creighton-primo.hosted.exlibrisgroup.com/primo-explore/search?tab=default_tab&amp;search_scope=EVERYTHING&amp;vid=01CRU&amp;lang=en_US&amp;offset=0&amp;query=any,contains,991004680969702656","Catalog Record")</f>
        <v/>
      </c>
      <c r="AT614">
        <f>HYPERLINK("http://www.worldcat.org/oclc/4569769","WorldCat Record")</f>
        <v/>
      </c>
      <c r="AU614" t="inlineStr">
        <is>
          <t>3769474489:eng</t>
        </is>
      </c>
      <c r="AV614" t="inlineStr">
        <is>
          <t>4569769</t>
        </is>
      </c>
      <c r="AW614" t="inlineStr">
        <is>
          <t>991004680969702656</t>
        </is>
      </c>
      <c r="AX614" t="inlineStr">
        <is>
          <t>991004680969702656</t>
        </is>
      </c>
      <c r="AY614" t="inlineStr">
        <is>
          <t>2257129470002656</t>
        </is>
      </c>
      <c r="AZ614" t="inlineStr">
        <is>
          <t>BOOK</t>
        </is>
      </c>
      <c r="BB614" t="inlineStr">
        <is>
          <t>9780809121014</t>
        </is>
      </c>
      <c r="BC614" t="inlineStr">
        <is>
          <t>32285000967017</t>
        </is>
      </c>
      <c r="BD614" t="inlineStr">
        <is>
          <t>893882791</t>
        </is>
      </c>
    </row>
    <row r="615">
      <c r="A615" t="inlineStr">
        <is>
          <t>No</t>
        </is>
      </c>
      <c r="B615" t="inlineStr">
        <is>
          <t>BV4505.K442 W35</t>
        </is>
      </c>
      <c r="C615" t="inlineStr">
        <is>
          <t>0                      BV 4505000K  442                W  35</t>
        </is>
      </c>
      <c r="D615" t="inlineStr">
        <is>
          <t>To will one thing : reflections on Kierkegaard's Purity of heart / by Jeremy D. B. Walker.</t>
        </is>
      </c>
      <c r="F615" t="inlineStr">
        <is>
          <t>No</t>
        </is>
      </c>
      <c r="G615" t="inlineStr">
        <is>
          <t>1</t>
        </is>
      </c>
      <c r="H615" t="inlineStr">
        <is>
          <t>No</t>
        </is>
      </c>
      <c r="I615" t="inlineStr">
        <is>
          <t>No</t>
        </is>
      </c>
      <c r="J615" t="inlineStr">
        <is>
          <t>0</t>
        </is>
      </c>
      <c r="K615" t="inlineStr">
        <is>
          <t>Walker, Jeremy D. B.</t>
        </is>
      </c>
      <c r="L615" t="inlineStr">
        <is>
          <t>Montreal : McGill-Queen's University Press, [1972]</t>
        </is>
      </c>
      <c r="M615" t="inlineStr">
        <is>
          <t>1972</t>
        </is>
      </c>
      <c r="O615" t="inlineStr">
        <is>
          <t>eng</t>
        </is>
      </c>
      <c r="P615" t="inlineStr">
        <is>
          <t>quc</t>
        </is>
      </c>
      <c r="R615" t="inlineStr">
        <is>
          <t xml:space="preserve">BV </t>
        </is>
      </c>
      <c r="S615" t="n">
        <v>4</v>
      </c>
      <c r="T615" t="n">
        <v>4</v>
      </c>
      <c r="U615" t="inlineStr">
        <is>
          <t>1993-04-17</t>
        </is>
      </c>
      <c r="V615" t="inlineStr">
        <is>
          <t>1993-04-17</t>
        </is>
      </c>
      <c r="W615" t="inlineStr">
        <is>
          <t>1992-02-28</t>
        </is>
      </c>
      <c r="X615" t="inlineStr">
        <is>
          <t>1992-02-28</t>
        </is>
      </c>
      <c r="Y615" t="n">
        <v>462</v>
      </c>
      <c r="Z615" t="n">
        <v>371</v>
      </c>
      <c r="AA615" t="n">
        <v>425</v>
      </c>
      <c r="AB615" t="n">
        <v>4</v>
      </c>
      <c r="AC615" t="n">
        <v>5</v>
      </c>
      <c r="AD615" t="n">
        <v>25</v>
      </c>
      <c r="AE615" t="n">
        <v>30</v>
      </c>
      <c r="AF615" t="n">
        <v>5</v>
      </c>
      <c r="AG615" t="n">
        <v>9</v>
      </c>
      <c r="AH615" t="n">
        <v>7</v>
      </c>
      <c r="AI615" t="n">
        <v>8</v>
      </c>
      <c r="AJ615" t="n">
        <v>15</v>
      </c>
      <c r="AK615" t="n">
        <v>15</v>
      </c>
      <c r="AL615" t="n">
        <v>3</v>
      </c>
      <c r="AM615" t="n">
        <v>4</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HYPERLINK("https://creighton-primo.hosted.exlibrisgroup.com/primo-explore/search?tab=default_tab&amp;search_scope=EVERYTHING&amp;vid=01CRU&amp;lang=en_US&amp;offset=0&amp;query=any,contains,991003024779702656","Catalog Record")</f>
        <v/>
      </c>
      <c r="AT615">
        <f>HYPERLINK("http://www.worldcat.org/oclc/589057","WorldCat Record")</f>
        <v/>
      </c>
      <c r="AU615" t="inlineStr">
        <is>
          <t>181270749:eng</t>
        </is>
      </c>
      <c r="AV615" t="inlineStr">
        <is>
          <t>589057</t>
        </is>
      </c>
      <c r="AW615" t="inlineStr">
        <is>
          <t>991003024779702656</t>
        </is>
      </c>
      <c r="AX615" t="inlineStr">
        <is>
          <t>991003024779702656</t>
        </is>
      </c>
      <c r="AY615" t="inlineStr">
        <is>
          <t>2259290870002656</t>
        </is>
      </c>
      <c r="AZ615" t="inlineStr">
        <is>
          <t>BOOK</t>
        </is>
      </c>
      <c r="BB615" t="inlineStr">
        <is>
          <t>9780773500846</t>
        </is>
      </c>
      <c r="BC615" t="inlineStr">
        <is>
          <t>32285000967025</t>
        </is>
      </c>
      <c r="BD615" t="inlineStr">
        <is>
          <t>893809790</t>
        </is>
      </c>
    </row>
    <row r="616">
      <c r="A616" t="inlineStr">
        <is>
          <t>No</t>
        </is>
      </c>
      <c r="B616" t="inlineStr">
        <is>
          <t>BV4509.5 .A9 1968</t>
        </is>
      </c>
      <c r="C616" t="inlineStr">
        <is>
          <t>0                      BV 4509500A  9           1968</t>
        </is>
      </c>
      <c r="D616" t="inlineStr">
        <is>
          <t>Christian spirituality East &amp; West / [by] Jordan Aumann, Thomas Hopko [and] Donald G. Bloesch.</t>
        </is>
      </c>
      <c r="F616" t="inlineStr">
        <is>
          <t>No</t>
        </is>
      </c>
      <c r="G616" t="inlineStr">
        <is>
          <t>1</t>
        </is>
      </c>
      <c r="H616" t="inlineStr">
        <is>
          <t>No</t>
        </is>
      </c>
      <c r="I616" t="inlineStr">
        <is>
          <t>No</t>
        </is>
      </c>
      <c r="J616" t="inlineStr">
        <is>
          <t>0</t>
        </is>
      </c>
      <c r="K616" t="inlineStr">
        <is>
          <t>Aumann, Jordan.</t>
        </is>
      </c>
      <c r="L616" t="inlineStr">
        <is>
          <t>Chicago : Priory Press, [1968]</t>
        </is>
      </c>
      <c r="M616" t="inlineStr">
        <is>
          <t>1968</t>
        </is>
      </c>
      <c r="O616" t="inlineStr">
        <is>
          <t>eng</t>
        </is>
      </c>
      <c r="P616" t="inlineStr">
        <is>
          <t>ilu</t>
        </is>
      </c>
      <c r="Q616" t="inlineStr">
        <is>
          <t>Institute of Spirituality. Special lectures, v. 3, 1967</t>
        </is>
      </c>
      <c r="R616" t="inlineStr">
        <is>
          <t xml:space="preserve">BV </t>
        </is>
      </c>
      <c r="S616" t="n">
        <v>7</v>
      </c>
      <c r="T616" t="n">
        <v>7</v>
      </c>
      <c r="U616" t="inlineStr">
        <is>
          <t>1999-08-11</t>
        </is>
      </c>
      <c r="V616" t="inlineStr">
        <is>
          <t>1999-08-11</t>
        </is>
      </c>
      <c r="W616" t="inlineStr">
        <is>
          <t>1992-02-28</t>
        </is>
      </c>
      <c r="X616" t="inlineStr">
        <is>
          <t>1992-02-28</t>
        </is>
      </c>
      <c r="Y616" t="n">
        <v>155</v>
      </c>
      <c r="Z616" t="n">
        <v>140</v>
      </c>
      <c r="AA616" t="n">
        <v>145</v>
      </c>
      <c r="AB616" t="n">
        <v>1</v>
      </c>
      <c r="AC616" t="n">
        <v>1</v>
      </c>
      <c r="AD616" t="n">
        <v>17</v>
      </c>
      <c r="AE616" t="n">
        <v>17</v>
      </c>
      <c r="AF616" t="n">
        <v>6</v>
      </c>
      <c r="AG616" t="n">
        <v>6</v>
      </c>
      <c r="AH616" t="n">
        <v>5</v>
      </c>
      <c r="AI616" t="n">
        <v>5</v>
      </c>
      <c r="AJ616" t="n">
        <v>12</v>
      </c>
      <c r="AK616" t="n">
        <v>12</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HYPERLINK("https://creighton-primo.hosted.exlibrisgroup.com/primo-explore/search?tab=default_tab&amp;search_scope=EVERYTHING&amp;vid=01CRU&amp;lang=en_US&amp;offset=0&amp;query=any,contains,991002805709702656","Catalog Record")</f>
        <v/>
      </c>
      <c r="AT616">
        <f>HYPERLINK("http://www.worldcat.org/oclc/449434","WorldCat Record")</f>
        <v/>
      </c>
      <c r="AU616" t="inlineStr">
        <is>
          <t>498499367:eng</t>
        </is>
      </c>
      <c r="AV616" t="inlineStr">
        <is>
          <t>449434</t>
        </is>
      </c>
      <c r="AW616" t="inlineStr">
        <is>
          <t>991002805709702656</t>
        </is>
      </c>
      <c r="AX616" t="inlineStr">
        <is>
          <t>991002805709702656</t>
        </is>
      </c>
      <c r="AY616" t="inlineStr">
        <is>
          <t>2265396530002656</t>
        </is>
      </c>
      <c r="AZ616" t="inlineStr">
        <is>
          <t>BOOK</t>
        </is>
      </c>
      <c r="BC616" t="inlineStr">
        <is>
          <t>32285000967074</t>
        </is>
      </c>
      <c r="BD616" t="inlineStr">
        <is>
          <t>893899259</t>
        </is>
      </c>
    </row>
    <row r="617">
      <c r="A617" t="inlineStr">
        <is>
          <t>No</t>
        </is>
      </c>
      <c r="B617" t="inlineStr">
        <is>
          <t>BV4509.5 .F38 1987</t>
        </is>
      </c>
      <c r="C617" t="inlineStr">
        <is>
          <t>0                      BV 4509500F  38          1987</t>
        </is>
      </c>
      <c r="D617" t="inlineStr">
        <is>
          <t>Personality and spiritual freedom / Robert and Carol Ann Faucett ; foreword by David Geraets.</t>
        </is>
      </c>
      <c r="F617" t="inlineStr">
        <is>
          <t>No</t>
        </is>
      </c>
      <c r="G617" t="inlineStr">
        <is>
          <t>1</t>
        </is>
      </c>
      <c r="H617" t="inlineStr">
        <is>
          <t>No</t>
        </is>
      </c>
      <c r="I617" t="inlineStr">
        <is>
          <t>No</t>
        </is>
      </c>
      <c r="J617" t="inlineStr">
        <is>
          <t>0</t>
        </is>
      </c>
      <c r="K617" t="inlineStr">
        <is>
          <t>Faucett, Robert, 1943-</t>
        </is>
      </c>
      <c r="L617" t="inlineStr">
        <is>
          <t>New York : Image Books, 1987.</t>
        </is>
      </c>
      <c r="M617" t="inlineStr">
        <is>
          <t>1987</t>
        </is>
      </c>
      <c r="N617" t="inlineStr">
        <is>
          <t>1st ed.</t>
        </is>
      </c>
      <c r="O617" t="inlineStr">
        <is>
          <t>eng</t>
        </is>
      </c>
      <c r="P617" t="inlineStr">
        <is>
          <t>nyu</t>
        </is>
      </c>
      <c r="R617" t="inlineStr">
        <is>
          <t xml:space="preserve">BV </t>
        </is>
      </c>
      <c r="S617" t="n">
        <v>1</v>
      </c>
      <c r="T617" t="n">
        <v>1</v>
      </c>
      <c r="U617" t="inlineStr">
        <is>
          <t>2005-04-13</t>
        </is>
      </c>
      <c r="V617" t="inlineStr">
        <is>
          <t>2005-04-13</t>
        </is>
      </c>
      <c r="W617" t="inlineStr">
        <is>
          <t>2005-04-13</t>
        </is>
      </c>
      <c r="X617" t="inlineStr">
        <is>
          <t>2005-04-13</t>
        </is>
      </c>
      <c r="Y617" t="n">
        <v>112</v>
      </c>
      <c r="Z617" t="n">
        <v>92</v>
      </c>
      <c r="AA617" t="n">
        <v>98</v>
      </c>
      <c r="AB617" t="n">
        <v>1</v>
      </c>
      <c r="AC617" t="n">
        <v>1</v>
      </c>
      <c r="AD617" t="n">
        <v>7</v>
      </c>
      <c r="AE617" t="n">
        <v>8</v>
      </c>
      <c r="AF617" t="n">
        <v>3</v>
      </c>
      <c r="AG617" t="n">
        <v>4</v>
      </c>
      <c r="AH617" t="n">
        <v>0</v>
      </c>
      <c r="AI617" t="n">
        <v>0</v>
      </c>
      <c r="AJ617" t="n">
        <v>7</v>
      </c>
      <c r="AK617" t="n">
        <v>8</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HYPERLINK("https://creighton-primo.hosted.exlibrisgroup.com/primo-explore/search?tab=default_tab&amp;search_scope=EVERYTHING&amp;vid=01CRU&amp;lang=en_US&amp;offset=0&amp;query=any,contains,991004528539702656","Catalog Record")</f>
        <v/>
      </c>
      <c r="AT617">
        <f>HYPERLINK("http://www.worldcat.org/oclc/15317948","WorldCat Record")</f>
        <v/>
      </c>
      <c r="AU617" t="inlineStr">
        <is>
          <t>9090806090:eng</t>
        </is>
      </c>
      <c r="AV617" t="inlineStr">
        <is>
          <t>15317948</t>
        </is>
      </c>
      <c r="AW617" t="inlineStr">
        <is>
          <t>991004528539702656</t>
        </is>
      </c>
      <c r="AX617" t="inlineStr">
        <is>
          <t>991004528539702656</t>
        </is>
      </c>
      <c r="AY617" t="inlineStr">
        <is>
          <t>2259221110002656</t>
        </is>
      </c>
      <c r="AZ617" t="inlineStr">
        <is>
          <t>BOOK</t>
        </is>
      </c>
      <c r="BB617" t="inlineStr">
        <is>
          <t>9780385242592</t>
        </is>
      </c>
      <c r="BC617" t="inlineStr">
        <is>
          <t>32285005030464</t>
        </is>
      </c>
      <c r="BD617" t="inlineStr">
        <is>
          <t>893513348</t>
        </is>
      </c>
    </row>
    <row r="618">
      <c r="A618" t="inlineStr">
        <is>
          <t>No</t>
        </is>
      </c>
      <c r="B618" t="inlineStr">
        <is>
          <t>BV4509.5 .K56 1988</t>
        </is>
      </c>
      <c r="C618" t="inlineStr">
        <is>
          <t>0                      BV 4509500K  56          1988</t>
        </is>
      </c>
      <c r="D618" t="inlineStr">
        <is>
          <t>Let the Spirit fly : how to save the Christian church from apostasy / by John Kloster.</t>
        </is>
      </c>
      <c r="F618" t="inlineStr">
        <is>
          <t>No</t>
        </is>
      </c>
      <c r="G618" t="inlineStr">
        <is>
          <t>1</t>
        </is>
      </c>
      <c r="H618" t="inlineStr">
        <is>
          <t>No</t>
        </is>
      </c>
      <c r="I618" t="inlineStr">
        <is>
          <t>No</t>
        </is>
      </c>
      <c r="J618" t="inlineStr">
        <is>
          <t>0</t>
        </is>
      </c>
      <c r="K618" t="inlineStr">
        <is>
          <t>Kloster, John.</t>
        </is>
      </c>
      <c r="L618" t="inlineStr">
        <is>
          <t>Edmonton, Alberta : Publications Unlimited, 1988.</t>
        </is>
      </c>
      <c r="M618" t="inlineStr">
        <is>
          <t>1988</t>
        </is>
      </c>
      <c r="O618" t="inlineStr">
        <is>
          <t>eng</t>
        </is>
      </c>
      <c r="P618" t="inlineStr">
        <is>
          <t xml:space="preserve">cx </t>
        </is>
      </c>
      <c r="R618" t="inlineStr">
        <is>
          <t xml:space="preserve">BV </t>
        </is>
      </c>
      <c r="S618" t="n">
        <v>7</v>
      </c>
      <c r="T618" t="n">
        <v>7</v>
      </c>
      <c r="U618" t="inlineStr">
        <is>
          <t>1994-11-30</t>
        </is>
      </c>
      <c r="V618" t="inlineStr">
        <is>
          <t>1994-11-30</t>
        </is>
      </c>
      <c r="W618" t="inlineStr">
        <is>
          <t>1993-01-05</t>
        </is>
      </c>
      <c r="X618" t="inlineStr">
        <is>
          <t>1993-01-05</t>
        </is>
      </c>
      <c r="Y618" t="n">
        <v>33</v>
      </c>
      <c r="Z618" t="n">
        <v>25</v>
      </c>
      <c r="AA618" t="n">
        <v>25</v>
      </c>
      <c r="AB618" t="n">
        <v>2</v>
      </c>
      <c r="AC618" t="n">
        <v>2</v>
      </c>
      <c r="AD618" t="n">
        <v>6</v>
      </c>
      <c r="AE618" t="n">
        <v>6</v>
      </c>
      <c r="AF618" t="n">
        <v>2</v>
      </c>
      <c r="AG618" t="n">
        <v>2</v>
      </c>
      <c r="AH618" t="n">
        <v>2</v>
      </c>
      <c r="AI618" t="n">
        <v>2</v>
      </c>
      <c r="AJ618" t="n">
        <v>5</v>
      </c>
      <c r="AK618" t="n">
        <v>5</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HYPERLINK("https://creighton-primo.hosted.exlibrisgroup.com/primo-explore/search?tab=default_tab&amp;search_scope=EVERYTHING&amp;vid=01CRU&amp;lang=en_US&amp;offset=0&amp;query=any,contains,991001879949702656","Catalog Record")</f>
        <v/>
      </c>
      <c r="AT618">
        <f>HYPERLINK("http://www.worldcat.org/oclc/23722601","WorldCat Record")</f>
        <v/>
      </c>
      <c r="AU618" t="inlineStr">
        <is>
          <t>5159974440:eng</t>
        </is>
      </c>
      <c r="AV618" t="inlineStr">
        <is>
          <t>23722601</t>
        </is>
      </c>
      <c r="AW618" t="inlineStr">
        <is>
          <t>991001879949702656</t>
        </is>
      </c>
      <c r="AX618" t="inlineStr">
        <is>
          <t>991001879949702656</t>
        </is>
      </c>
      <c r="AY618" t="inlineStr">
        <is>
          <t>2271426200002656</t>
        </is>
      </c>
      <c r="AZ618" t="inlineStr">
        <is>
          <t>BOOK</t>
        </is>
      </c>
      <c r="BB618" t="inlineStr">
        <is>
          <t>9781895179002</t>
        </is>
      </c>
      <c r="BC618" t="inlineStr">
        <is>
          <t>32285001466886</t>
        </is>
      </c>
      <c r="BD618" t="inlineStr">
        <is>
          <t>893238405</t>
        </is>
      </c>
    </row>
    <row r="619">
      <c r="A619" t="inlineStr">
        <is>
          <t>No</t>
        </is>
      </c>
      <c r="B619" t="inlineStr">
        <is>
          <t>BV4509.5 .V45 2003</t>
        </is>
      </c>
      <c r="C619" t="inlineStr">
        <is>
          <t>0                      BV 4509500V  45          2003</t>
        </is>
      </c>
      <c r="D619" t="inlineStr">
        <is>
          <t>Loving God with all your mind : thinking as a Christian in the postmodern world / Gene Edward Veith.</t>
        </is>
      </c>
      <c r="F619" t="inlineStr">
        <is>
          <t>No</t>
        </is>
      </c>
      <c r="G619" t="inlineStr">
        <is>
          <t>1</t>
        </is>
      </c>
      <c r="H619" t="inlineStr">
        <is>
          <t>No</t>
        </is>
      </c>
      <c r="I619" t="inlineStr">
        <is>
          <t>No</t>
        </is>
      </c>
      <c r="J619" t="inlineStr">
        <is>
          <t>0</t>
        </is>
      </c>
      <c r="K619" t="inlineStr">
        <is>
          <t>Veith, Gene Edward, Jr., 1951-</t>
        </is>
      </c>
      <c r="L619" t="inlineStr">
        <is>
          <t>Wheaton, Ill. : Crossway Books, c2003.</t>
        </is>
      </c>
      <c r="M619" t="inlineStr">
        <is>
          <t>2003</t>
        </is>
      </c>
      <c r="N619" t="inlineStr">
        <is>
          <t>Rev. ed.</t>
        </is>
      </c>
      <c r="O619" t="inlineStr">
        <is>
          <t>eng</t>
        </is>
      </c>
      <c r="P619" t="inlineStr">
        <is>
          <t>ilu</t>
        </is>
      </c>
      <c r="R619" t="inlineStr">
        <is>
          <t xml:space="preserve">BV </t>
        </is>
      </c>
      <c r="S619" t="n">
        <v>3</v>
      </c>
      <c r="T619" t="n">
        <v>3</v>
      </c>
      <c r="U619" t="inlineStr">
        <is>
          <t>2008-04-23</t>
        </is>
      </c>
      <c r="V619" t="inlineStr">
        <is>
          <t>2008-04-23</t>
        </is>
      </c>
      <c r="W619" t="inlineStr">
        <is>
          <t>2006-03-07</t>
        </is>
      </c>
      <c r="X619" t="inlineStr">
        <is>
          <t>2006-03-07</t>
        </is>
      </c>
      <c r="Y619" t="n">
        <v>86</v>
      </c>
      <c r="Z619" t="n">
        <v>78</v>
      </c>
      <c r="AA619" t="n">
        <v>92</v>
      </c>
      <c r="AB619" t="n">
        <v>1</v>
      </c>
      <c r="AC619" t="n">
        <v>2</v>
      </c>
      <c r="AD619" t="n">
        <v>1</v>
      </c>
      <c r="AE619" t="n">
        <v>3</v>
      </c>
      <c r="AF619" t="n">
        <v>1</v>
      </c>
      <c r="AG619" t="n">
        <v>2</v>
      </c>
      <c r="AH619" t="n">
        <v>0</v>
      </c>
      <c r="AI619" t="n">
        <v>1</v>
      </c>
      <c r="AJ619" t="n">
        <v>0</v>
      </c>
      <c r="AK619" t="n">
        <v>0</v>
      </c>
      <c r="AL619" t="n">
        <v>0</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HYPERLINK("https://creighton-primo.hosted.exlibrisgroup.com/primo-explore/search?tab=default_tab&amp;search_scope=EVERYTHING&amp;vid=01CRU&amp;lang=en_US&amp;offset=0&amp;query=any,contains,991004741209702656","Catalog Record")</f>
        <v/>
      </c>
      <c r="AT619">
        <f>HYPERLINK("http://www.worldcat.org/oclc/52799744","WorldCat Record")</f>
        <v/>
      </c>
      <c r="AU619" t="inlineStr">
        <is>
          <t>2287056875:eng</t>
        </is>
      </c>
      <c r="AV619" t="inlineStr">
        <is>
          <t>52799744</t>
        </is>
      </c>
      <c r="AW619" t="inlineStr">
        <is>
          <t>991004741209702656</t>
        </is>
      </c>
      <c r="AX619" t="inlineStr">
        <is>
          <t>991004741209702656</t>
        </is>
      </c>
      <c r="AY619" t="inlineStr">
        <is>
          <t>2261858540002656</t>
        </is>
      </c>
      <c r="AZ619" t="inlineStr">
        <is>
          <t>BOOK</t>
        </is>
      </c>
      <c r="BB619" t="inlineStr">
        <is>
          <t>9781581345124</t>
        </is>
      </c>
      <c r="BC619" t="inlineStr">
        <is>
          <t>32285005163117</t>
        </is>
      </c>
      <c r="BD619" t="inlineStr">
        <is>
          <t>893536187</t>
        </is>
      </c>
    </row>
    <row r="620">
      <c r="A620" t="inlineStr">
        <is>
          <t>No</t>
        </is>
      </c>
      <c r="B620" t="inlineStr">
        <is>
          <t>BV4509.5 .W355 2002</t>
        </is>
      </c>
      <c r="C620" t="inlineStr">
        <is>
          <t>0                      BV 4509500W  355         2002</t>
        </is>
      </c>
      <c r="D620" t="inlineStr">
        <is>
          <t>Finding the will of God : a pagan notion? / Bruce Waltke.</t>
        </is>
      </c>
      <c r="F620" t="inlineStr">
        <is>
          <t>No</t>
        </is>
      </c>
      <c r="G620" t="inlineStr">
        <is>
          <t>1</t>
        </is>
      </c>
      <c r="H620" t="inlineStr">
        <is>
          <t>No</t>
        </is>
      </c>
      <c r="I620" t="inlineStr">
        <is>
          <t>No</t>
        </is>
      </c>
      <c r="J620" t="inlineStr">
        <is>
          <t>0</t>
        </is>
      </c>
      <c r="K620" t="inlineStr">
        <is>
          <t>Waltke, Bruce K.</t>
        </is>
      </c>
      <c r="L620" t="inlineStr">
        <is>
          <t>Grand Rapids, Mich. : W.B. Eerdmans, 2002.</t>
        </is>
      </c>
      <c r="M620" t="inlineStr">
        <is>
          <t>2000</t>
        </is>
      </c>
      <c r="O620" t="inlineStr">
        <is>
          <t>eng</t>
        </is>
      </c>
      <c r="P620" t="inlineStr">
        <is>
          <t>miu</t>
        </is>
      </c>
      <c r="R620" t="inlineStr">
        <is>
          <t xml:space="preserve">BV </t>
        </is>
      </c>
      <c r="S620" t="n">
        <v>4</v>
      </c>
      <c r="T620" t="n">
        <v>4</v>
      </c>
      <c r="U620" t="inlineStr">
        <is>
          <t>2006-05-23</t>
        </is>
      </c>
      <c r="V620" t="inlineStr">
        <is>
          <t>2006-05-23</t>
        </is>
      </c>
      <c r="W620" t="inlineStr">
        <is>
          <t>2006-05-23</t>
        </is>
      </c>
      <c r="X620" t="inlineStr">
        <is>
          <t>2006-05-23</t>
        </is>
      </c>
      <c r="Y620" t="n">
        <v>168</v>
      </c>
      <c r="Z620" t="n">
        <v>142</v>
      </c>
      <c r="AA620" t="n">
        <v>269</v>
      </c>
      <c r="AB620" t="n">
        <v>2</v>
      </c>
      <c r="AC620" t="n">
        <v>3</v>
      </c>
      <c r="AD620" t="n">
        <v>6</v>
      </c>
      <c r="AE620" t="n">
        <v>12</v>
      </c>
      <c r="AF620" t="n">
        <v>1</v>
      </c>
      <c r="AG620" t="n">
        <v>5</v>
      </c>
      <c r="AH620" t="n">
        <v>2</v>
      </c>
      <c r="AI620" t="n">
        <v>3</v>
      </c>
      <c r="AJ620" t="n">
        <v>2</v>
      </c>
      <c r="AK620" t="n">
        <v>3</v>
      </c>
      <c r="AL620" t="n">
        <v>1</v>
      </c>
      <c r="AM620" t="n">
        <v>2</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HYPERLINK("https://creighton-primo.hosted.exlibrisgroup.com/primo-explore/search?tab=default_tab&amp;search_scope=EVERYTHING&amp;vid=01CRU&amp;lang=en_US&amp;offset=0&amp;query=any,contains,991004780679702656","Catalog Record")</f>
        <v/>
      </c>
      <c r="AT620">
        <f>HYPERLINK("http://www.worldcat.org/oclc/48649263","WorldCat Record")</f>
        <v/>
      </c>
      <c r="AU620" t="inlineStr">
        <is>
          <t>34828993:eng</t>
        </is>
      </c>
      <c r="AV620" t="inlineStr">
        <is>
          <t>48649263</t>
        </is>
      </c>
      <c r="AW620" t="inlineStr">
        <is>
          <t>991004780679702656</t>
        </is>
      </c>
      <c r="AX620" t="inlineStr">
        <is>
          <t>991004780679702656</t>
        </is>
      </c>
      <c r="AY620" t="inlineStr">
        <is>
          <t>2255907800002656</t>
        </is>
      </c>
      <c r="AZ620" t="inlineStr">
        <is>
          <t>BOOK</t>
        </is>
      </c>
      <c r="BB620" t="inlineStr">
        <is>
          <t>9780802839749</t>
        </is>
      </c>
      <c r="BC620" t="inlineStr">
        <is>
          <t>32285005188619</t>
        </is>
      </c>
      <c r="BD620" t="inlineStr">
        <is>
          <t>893536203</t>
        </is>
      </c>
    </row>
    <row r="621">
      <c r="A621" t="inlineStr">
        <is>
          <t>No</t>
        </is>
      </c>
      <c r="B621" t="inlineStr">
        <is>
          <t>BV4509.C8 C613 1998</t>
        </is>
      </c>
      <c r="C621" t="inlineStr">
        <is>
          <t>0                      BV 4509000C  8                  C  613         1998</t>
        </is>
      </c>
      <c r="D621" t="inlineStr">
        <is>
          <t>The labyrinth of the world and the paradise of the heart / John Comenius ; translated and introduced by Howard Louthan and Andrea Sterk ; preface by Jan Milič Lochman.</t>
        </is>
      </c>
      <c r="F621" t="inlineStr">
        <is>
          <t>No</t>
        </is>
      </c>
      <c r="G621" t="inlineStr">
        <is>
          <t>1</t>
        </is>
      </c>
      <c r="H621" t="inlineStr">
        <is>
          <t>No</t>
        </is>
      </c>
      <c r="I621" t="inlineStr">
        <is>
          <t>No</t>
        </is>
      </c>
      <c r="J621" t="inlineStr">
        <is>
          <t>0</t>
        </is>
      </c>
      <c r="K621" t="inlineStr">
        <is>
          <t>Comenius, Johann Amos, 1592-1670.</t>
        </is>
      </c>
      <c r="L621" t="inlineStr">
        <is>
          <t>New York : Paulist Press, c1998.</t>
        </is>
      </c>
      <c r="M621" t="inlineStr">
        <is>
          <t>1998</t>
        </is>
      </c>
      <c r="O621" t="inlineStr">
        <is>
          <t>eng</t>
        </is>
      </c>
      <c r="P621" t="inlineStr">
        <is>
          <t>nyu</t>
        </is>
      </c>
      <c r="Q621" t="inlineStr">
        <is>
          <t>Classics of Western spirituality</t>
        </is>
      </c>
      <c r="R621" t="inlineStr">
        <is>
          <t xml:space="preserve">BV </t>
        </is>
      </c>
      <c r="S621" t="n">
        <v>1</v>
      </c>
      <c r="T621" t="n">
        <v>1</v>
      </c>
      <c r="U621" t="inlineStr">
        <is>
          <t>2006-06-19</t>
        </is>
      </c>
      <c r="V621" t="inlineStr">
        <is>
          <t>2006-06-19</t>
        </is>
      </c>
      <c r="W621" t="inlineStr">
        <is>
          <t>1998-04-13</t>
        </is>
      </c>
      <c r="X621" t="inlineStr">
        <is>
          <t>1998-04-13</t>
        </is>
      </c>
      <c r="Y621" t="n">
        <v>503</v>
      </c>
      <c r="Z621" t="n">
        <v>438</v>
      </c>
      <c r="AA621" t="n">
        <v>722</v>
      </c>
      <c r="AB621" t="n">
        <v>5</v>
      </c>
      <c r="AC621" t="n">
        <v>8</v>
      </c>
      <c r="AD621" t="n">
        <v>35</v>
      </c>
      <c r="AE621" t="n">
        <v>44</v>
      </c>
      <c r="AF621" t="n">
        <v>13</v>
      </c>
      <c r="AG621" t="n">
        <v>16</v>
      </c>
      <c r="AH621" t="n">
        <v>9</v>
      </c>
      <c r="AI621" t="n">
        <v>11</v>
      </c>
      <c r="AJ621" t="n">
        <v>21</v>
      </c>
      <c r="AK621" t="n">
        <v>24</v>
      </c>
      <c r="AL621" t="n">
        <v>3</v>
      </c>
      <c r="AM621" t="n">
        <v>6</v>
      </c>
      <c r="AN621" t="n">
        <v>0</v>
      </c>
      <c r="AO621" t="n">
        <v>0</v>
      </c>
      <c r="AP621" t="inlineStr">
        <is>
          <t>No</t>
        </is>
      </c>
      <c r="AQ621" t="inlineStr">
        <is>
          <t>Yes</t>
        </is>
      </c>
      <c r="AR621">
        <f>HYPERLINK("http://catalog.hathitrust.org/Record/003997135","HathiTrust Record")</f>
        <v/>
      </c>
      <c r="AS621">
        <f>HYPERLINK("https://creighton-primo.hosted.exlibrisgroup.com/primo-explore/search?tab=default_tab&amp;search_scope=EVERYTHING&amp;vid=01CRU&amp;lang=en_US&amp;offset=0&amp;query=any,contains,991002801259702656","Catalog Record")</f>
        <v/>
      </c>
      <c r="AT621">
        <f>HYPERLINK("http://www.worldcat.org/oclc/36798986","WorldCat Record")</f>
        <v/>
      </c>
      <c r="AU621" t="inlineStr">
        <is>
          <t>4916419914:eng</t>
        </is>
      </c>
      <c r="AV621" t="inlineStr">
        <is>
          <t>36798986</t>
        </is>
      </c>
      <c r="AW621" t="inlineStr">
        <is>
          <t>991002801259702656</t>
        </is>
      </c>
      <c r="AX621" t="inlineStr">
        <is>
          <t>991002801259702656</t>
        </is>
      </c>
      <c r="AY621" t="inlineStr">
        <is>
          <t>2256842250002656</t>
        </is>
      </c>
      <c r="AZ621" t="inlineStr">
        <is>
          <t>BOOK</t>
        </is>
      </c>
      <c r="BB621" t="inlineStr">
        <is>
          <t>9780809104895</t>
        </is>
      </c>
      <c r="BC621" t="inlineStr">
        <is>
          <t>32285003384251</t>
        </is>
      </c>
      <c r="BD621" t="inlineStr">
        <is>
          <t>893886743</t>
        </is>
      </c>
    </row>
    <row r="622">
      <c r="A622" t="inlineStr">
        <is>
          <t>No</t>
        </is>
      </c>
      <c r="B622" t="inlineStr">
        <is>
          <t>BV4510.2 .S665 1993</t>
        </is>
      </c>
      <c r="C622" t="inlineStr">
        <is>
          <t>0                      BV 4510200S  665         1993</t>
        </is>
      </c>
      <c r="D622" t="inlineStr">
        <is>
          <t>Spirituality in ecumenical perspective / E. Glenn Hinson, editor.</t>
        </is>
      </c>
      <c r="F622" t="inlineStr">
        <is>
          <t>No</t>
        </is>
      </c>
      <c r="G622" t="inlineStr">
        <is>
          <t>1</t>
        </is>
      </c>
      <c r="H622" t="inlineStr">
        <is>
          <t>No</t>
        </is>
      </c>
      <c r="I622" t="inlineStr">
        <is>
          <t>No</t>
        </is>
      </c>
      <c r="J622" t="inlineStr">
        <is>
          <t>0</t>
        </is>
      </c>
      <c r="L622" t="inlineStr">
        <is>
          <t>Louisville, Ky. : Westminster/John Knox Press, c1993.</t>
        </is>
      </c>
      <c r="M622" t="inlineStr">
        <is>
          <t>1993</t>
        </is>
      </c>
      <c r="N622" t="inlineStr">
        <is>
          <t>1st ed.</t>
        </is>
      </c>
      <c r="O622" t="inlineStr">
        <is>
          <t>eng</t>
        </is>
      </c>
      <c r="P622" t="inlineStr">
        <is>
          <t>kyu</t>
        </is>
      </c>
      <c r="R622" t="inlineStr">
        <is>
          <t xml:space="preserve">BV </t>
        </is>
      </c>
      <c r="S622" t="n">
        <v>5</v>
      </c>
      <c r="T622" t="n">
        <v>5</v>
      </c>
      <c r="U622" t="inlineStr">
        <is>
          <t>2008-04-12</t>
        </is>
      </c>
      <c r="V622" t="inlineStr">
        <is>
          <t>2008-04-12</t>
        </is>
      </c>
      <c r="W622" t="inlineStr">
        <is>
          <t>1994-09-07</t>
        </is>
      </c>
      <c r="X622" t="inlineStr">
        <is>
          <t>1994-09-07</t>
        </is>
      </c>
      <c r="Y622" t="n">
        <v>236</v>
      </c>
      <c r="Z622" t="n">
        <v>196</v>
      </c>
      <c r="AA622" t="n">
        <v>201</v>
      </c>
      <c r="AB622" t="n">
        <v>1</v>
      </c>
      <c r="AC622" t="n">
        <v>1</v>
      </c>
      <c r="AD622" t="n">
        <v>16</v>
      </c>
      <c r="AE622" t="n">
        <v>16</v>
      </c>
      <c r="AF622" t="n">
        <v>8</v>
      </c>
      <c r="AG622" t="n">
        <v>8</v>
      </c>
      <c r="AH622" t="n">
        <v>3</v>
      </c>
      <c r="AI622" t="n">
        <v>3</v>
      </c>
      <c r="AJ622" t="n">
        <v>10</v>
      </c>
      <c r="AK622" t="n">
        <v>10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HYPERLINK("https://creighton-primo.hosted.exlibrisgroup.com/primo-explore/search?tab=default_tab&amp;search_scope=EVERYTHING&amp;vid=01CRU&amp;lang=en_US&amp;offset=0&amp;query=any,contains,991002178019702656","Catalog Record")</f>
        <v/>
      </c>
      <c r="AT622">
        <f>HYPERLINK("http://www.worldcat.org/oclc/28027435","WorldCat Record")</f>
        <v/>
      </c>
      <c r="AU622" t="inlineStr">
        <is>
          <t>892227103:eng</t>
        </is>
      </c>
      <c r="AV622" t="inlineStr">
        <is>
          <t>28027435</t>
        </is>
      </c>
      <c r="AW622" t="inlineStr">
        <is>
          <t>991002178019702656</t>
        </is>
      </c>
      <c r="AX622" t="inlineStr">
        <is>
          <t>991002178019702656</t>
        </is>
      </c>
      <c r="AY622" t="inlineStr">
        <is>
          <t>2266039300002656</t>
        </is>
      </c>
      <c r="AZ622" t="inlineStr">
        <is>
          <t>BOOK</t>
        </is>
      </c>
      <c r="BB622" t="inlineStr">
        <is>
          <t>9780664253851</t>
        </is>
      </c>
      <c r="BC622" t="inlineStr">
        <is>
          <t>32285001945111</t>
        </is>
      </c>
      <c r="BD622" t="inlineStr">
        <is>
          <t>893892244</t>
        </is>
      </c>
    </row>
    <row r="623">
      <c r="A623" t="inlineStr">
        <is>
          <t>No</t>
        </is>
      </c>
      <c r="B623" t="inlineStr">
        <is>
          <t>BV4511 .B43 1990</t>
        </is>
      </c>
      <c r="C623" t="inlineStr">
        <is>
          <t>0                      BV 4511000B  43          1990</t>
        </is>
      </c>
      <c r="D623" t="inlineStr">
        <is>
          <t>Becoming Christian : dimensions of spiritual formation / Bill J. Leonard, editor.</t>
        </is>
      </c>
      <c r="F623" t="inlineStr">
        <is>
          <t>No</t>
        </is>
      </c>
      <c r="G623" t="inlineStr">
        <is>
          <t>1</t>
        </is>
      </c>
      <c r="H623" t="inlineStr">
        <is>
          <t>No</t>
        </is>
      </c>
      <c r="I623" t="inlineStr">
        <is>
          <t>No</t>
        </is>
      </c>
      <c r="J623" t="inlineStr">
        <is>
          <t>0</t>
        </is>
      </c>
      <c r="L623" t="inlineStr">
        <is>
          <t>Louisville, Ky. : Westminster/J. Knox Press, c1990.</t>
        </is>
      </c>
      <c r="M623" t="inlineStr">
        <is>
          <t>1990</t>
        </is>
      </c>
      <c r="N623" t="inlineStr">
        <is>
          <t>1st ed.</t>
        </is>
      </c>
      <c r="O623" t="inlineStr">
        <is>
          <t>eng</t>
        </is>
      </c>
      <c r="P623" t="inlineStr">
        <is>
          <t>kyu</t>
        </is>
      </c>
      <c r="R623" t="inlineStr">
        <is>
          <t xml:space="preserve">BV </t>
        </is>
      </c>
      <c r="S623" t="n">
        <v>2</v>
      </c>
      <c r="T623" t="n">
        <v>2</v>
      </c>
      <c r="U623" t="inlineStr">
        <is>
          <t>2001-07-23</t>
        </is>
      </c>
      <c r="V623" t="inlineStr">
        <is>
          <t>2001-07-23</t>
        </is>
      </c>
      <c r="W623" t="inlineStr">
        <is>
          <t>1996-09-26</t>
        </is>
      </c>
      <c r="X623" t="inlineStr">
        <is>
          <t>1996-09-26</t>
        </is>
      </c>
      <c r="Y623" t="n">
        <v>217</v>
      </c>
      <c r="Z623" t="n">
        <v>191</v>
      </c>
      <c r="AA623" t="n">
        <v>191</v>
      </c>
      <c r="AB623" t="n">
        <v>1</v>
      </c>
      <c r="AC623" t="n">
        <v>1</v>
      </c>
      <c r="AD623" t="n">
        <v>10</v>
      </c>
      <c r="AE623" t="n">
        <v>10</v>
      </c>
      <c r="AF623" t="n">
        <v>4</v>
      </c>
      <c r="AG623" t="n">
        <v>4</v>
      </c>
      <c r="AH623" t="n">
        <v>3</v>
      </c>
      <c r="AI623" t="n">
        <v>3</v>
      </c>
      <c r="AJ623" t="n">
        <v>5</v>
      </c>
      <c r="AK623" t="n">
        <v>5</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HYPERLINK("https://creighton-primo.hosted.exlibrisgroup.com/primo-explore/search?tab=default_tab&amp;search_scope=EVERYTHING&amp;vid=01CRU&amp;lang=en_US&amp;offset=0&amp;query=any,contains,991001641449702656","Catalog Record")</f>
        <v/>
      </c>
      <c r="AT623">
        <f>HYPERLINK("http://www.worldcat.org/oclc/21030513","WorldCat Record")</f>
        <v/>
      </c>
      <c r="AU623" t="inlineStr">
        <is>
          <t>931957:eng</t>
        </is>
      </c>
      <c r="AV623" t="inlineStr">
        <is>
          <t>21030513</t>
        </is>
      </c>
      <c r="AW623" t="inlineStr">
        <is>
          <t>991001641449702656</t>
        </is>
      </c>
      <c r="AX623" t="inlineStr">
        <is>
          <t>991001641449702656</t>
        </is>
      </c>
      <c r="AY623" t="inlineStr">
        <is>
          <t>2271416670002656</t>
        </is>
      </c>
      <c r="AZ623" t="inlineStr">
        <is>
          <t>BOOK</t>
        </is>
      </c>
      <c r="BB623" t="inlineStr">
        <is>
          <t>9780664251192</t>
        </is>
      </c>
      <c r="BC623" t="inlineStr">
        <is>
          <t>32285002320587</t>
        </is>
      </c>
      <c r="BD623" t="inlineStr">
        <is>
          <t>893322104</t>
        </is>
      </c>
    </row>
    <row r="624">
      <c r="A624" t="inlineStr">
        <is>
          <t>No</t>
        </is>
      </c>
      <c r="B624" t="inlineStr">
        <is>
          <t>BV4511 .I53 2000</t>
        </is>
      </c>
      <c r="C624" t="inlineStr">
        <is>
          <t>0                      BV 4511000I  53          2000</t>
        </is>
      </c>
      <c r="D624" t="inlineStr">
        <is>
          <t>Inquiring after God : classic and contemporary readings / edited by Ellen T. Charry.</t>
        </is>
      </c>
      <c r="F624" t="inlineStr">
        <is>
          <t>No</t>
        </is>
      </c>
      <c r="G624" t="inlineStr">
        <is>
          <t>1</t>
        </is>
      </c>
      <c r="H624" t="inlineStr">
        <is>
          <t>No</t>
        </is>
      </c>
      <c r="I624" t="inlineStr">
        <is>
          <t>No</t>
        </is>
      </c>
      <c r="J624" t="inlineStr">
        <is>
          <t>0</t>
        </is>
      </c>
      <c r="L624" t="inlineStr">
        <is>
          <t>Oxford ; Malden, Mass. : Blackwell, 2000.</t>
        </is>
      </c>
      <c r="M624" t="inlineStr">
        <is>
          <t>2000</t>
        </is>
      </c>
      <c r="O624" t="inlineStr">
        <is>
          <t>eng</t>
        </is>
      </c>
      <c r="P624" t="inlineStr">
        <is>
          <t>enk</t>
        </is>
      </c>
      <c r="Q624" t="inlineStr">
        <is>
          <t>Blackwell readings in modern theology</t>
        </is>
      </c>
      <c r="R624" t="inlineStr">
        <is>
          <t xml:space="preserve">BV </t>
        </is>
      </c>
      <c r="S624" t="n">
        <v>1</v>
      </c>
      <c r="T624" t="n">
        <v>1</v>
      </c>
      <c r="U624" t="inlineStr">
        <is>
          <t>2001-08-14</t>
        </is>
      </c>
      <c r="V624" t="inlineStr">
        <is>
          <t>2001-08-14</t>
        </is>
      </c>
      <c r="W624" t="inlineStr">
        <is>
          <t>2001-08-13</t>
        </is>
      </c>
      <c r="X624" t="inlineStr">
        <is>
          <t>2001-08-13</t>
        </is>
      </c>
      <c r="Y624" t="n">
        <v>254</v>
      </c>
      <c r="Z624" t="n">
        <v>193</v>
      </c>
      <c r="AA624" t="n">
        <v>199</v>
      </c>
      <c r="AB624" t="n">
        <v>2</v>
      </c>
      <c r="AC624" t="n">
        <v>2</v>
      </c>
      <c r="AD624" t="n">
        <v>16</v>
      </c>
      <c r="AE624" t="n">
        <v>16</v>
      </c>
      <c r="AF624" t="n">
        <v>8</v>
      </c>
      <c r="AG624" t="n">
        <v>8</v>
      </c>
      <c r="AH624" t="n">
        <v>2</v>
      </c>
      <c r="AI624" t="n">
        <v>2</v>
      </c>
      <c r="AJ624" t="n">
        <v>10</v>
      </c>
      <c r="AK624" t="n">
        <v>10</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HYPERLINK("https://creighton-primo.hosted.exlibrisgroup.com/primo-explore/search?tab=default_tab&amp;search_scope=EVERYTHING&amp;vid=01CRU&amp;lang=en_US&amp;offset=0&amp;query=any,contains,991003564369702656","Catalog Record")</f>
        <v/>
      </c>
      <c r="AT624">
        <f>HYPERLINK("http://www.worldcat.org/oclc/41628150","WorldCat Record")</f>
        <v/>
      </c>
      <c r="AU624" t="inlineStr">
        <is>
          <t>793046086:eng</t>
        </is>
      </c>
      <c r="AV624" t="inlineStr">
        <is>
          <t>41628150</t>
        </is>
      </c>
      <c r="AW624" t="inlineStr">
        <is>
          <t>991003564369702656</t>
        </is>
      </c>
      <c r="AX624" t="inlineStr">
        <is>
          <t>991003564369702656</t>
        </is>
      </c>
      <c r="AY624" t="inlineStr">
        <is>
          <t>2263392620002656</t>
        </is>
      </c>
      <c r="AZ624" t="inlineStr">
        <is>
          <t>BOOK</t>
        </is>
      </c>
      <c r="BB624" t="inlineStr">
        <is>
          <t>9780631205432</t>
        </is>
      </c>
      <c r="BC624" t="inlineStr">
        <is>
          <t>32285004377254</t>
        </is>
      </c>
      <c r="BD624" t="inlineStr">
        <is>
          <t>893705362</t>
        </is>
      </c>
    </row>
    <row r="625">
      <c r="A625" t="inlineStr">
        <is>
          <t>No</t>
        </is>
      </c>
      <c r="B625" t="inlineStr">
        <is>
          <t>BV4515.2 .D63 1977</t>
        </is>
      </c>
      <c r="C625" t="inlineStr">
        <is>
          <t>0                      BV 4515200D  63          1977</t>
        </is>
      </c>
      <c r="D625" t="inlineStr">
        <is>
          <t>Not without parables : stories of yesterday, today, and eternity / Catherine de Hueck Doherty.</t>
        </is>
      </c>
      <c r="F625" t="inlineStr">
        <is>
          <t>No</t>
        </is>
      </c>
      <c r="G625" t="inlineStr">
        <is>
          <t>1</t>
        </is>
      </c>
      <c r="H625" t="inlineStr">
        <is>
          <t>No</t>
        </is>
      </c>
      <c r="I625" t="inlineStr">
        <is>
          <t>No</t>
        </is>
      </c>
      <c r="J625" t="inlineStr">
        <is>
          <t>0</t>
        </is>
      </c>
      <c r="K625" t="inlineStr">
        <is>
          <t>Doherty, Catherine de Hueck, 1896-1985.</t>
        </is>
      </c>
      <c r="L625" t="inlineStr">
        <is>
          <t>Notre Dame, Ind. : Ave Maria Press, c1977.</t>
        </is>
      </c>
      <c r="M625" t="inlineStr">
        <is>
          <t>1977</t>
        </is>
      </c>
      <c r="O625" t="inlineStr">
        <is>
          <t>eng</t>
        </is>
      </c>
      <c r="P625" t="inlineStr">
        <is>
          <t>inu</t>
        </is>
      </c>
      <c r="R625" t="inlineStr">
        <is>
          <t xml:space="preserve">BV </t>
        </is>
      </c>
      <c r="S625" t="n">
        <v>6</v>
      </c>
      <c r="T625" t="n">
        <v>6</v>
      </c>
      <c r="U625" t="inlineStr">
        <is>
          <t>1999-01-15</t>
        </is>
      </c>
      <c r="V625" t="inlineStr">
        <is>
          <t>1999-01-15</t>
        </is>
      </c>
      <c r="W625" t="inlineStr">
        <is>
          <t>1992-02-28</t>
        </is>
      </c>
      <c r="X625" t="inlineStr">
        <is>
          <t>1992-02-28</t>
        </is>
      </c>
      <c r="Y625" t="n">
        <v>181</v>
      </c>
      <c r="Z625" t="n">
        <v>145</v>
      </c>
      <c r="AA625" t="n">
        <v>149</v>
      </c>
      <c r="AB625" t="n">
        <v>4</v>
      </c>
      <c r="AC625" t="n">
        <v>4</v>
      </c>
      <c r="AD625" t="n">
        <v>17</v>
      </c>
      <c r="AE625" t="n">
        <v>17</v>
      </c>
      <c r="AF625" t="n">
        <v>4</v>
      </c>
      <c r="AG625" t="n">
        <v>4</v>
      </c>
      <c r="AH625" t="n">
        <v>5</v>
      </c>
      <c r="AI625" t="n">
        <v>5</v>
      </c>
      <c r="AJ625" t="n">
        <v>11</v>
      </c>
      <c r="AK625" t="n">
        <v>11</v>
      </c>
      <c r="AL625" t="n">
        <v>1</v>
      </c>
      <c r="AM625" t="n">
        <v>1</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HYPERLINK("https://creighton-primo.hosted.exlibrisgroup.com/primo-explore/search?tab=default_tab&amp;search_scope=EVERYTHING&amp;vid=01CRU&amp;lang=en_US&amp;offset=0&amp;query=any,contains,991004286089702656","Catalog Record")</f>
        <v/>
      </c>
      <c r="AT625">
        <f>HYPERLINK("http://www.worldcat.org/oclc/2925803","WorldCat Record")</f>
        <v/>
      </c>
      <c r="AU625" t="inlineStr">
        <is>
          <t>6692149:eng</t>
        </is>
      </c>
      <c r="AV625" t="inlineStr">
        <is>
          <t>2925803</t>
        </is>
      </c>
      <c r="AW625" t="inlineStr">
        <is>
          <t>991004286089702656</t>
        </is>
      </c>
      <c r="AX625" t="inlineStr">
        <is>
          <t>991004286089702656</t>
        </is>
      </c>
      <c r="AY625" t="inlineStr">
        <is>
          <t>2262747550002656</t>
        </is>
      </c>
      <c r="AZ625" t="inlineStr">
        <is>
          <t>BOOK</t>
        </is>
      </c>
      <c r="BB625" t="inlineStr">
        <is>
          <t>9780877931263</t>
        </is>
      </c>
      <c r="BC625" t="inlineStr">
        <is>
          <t>32285000967090</t>
        </is>
      </c>
      <c r="BD625" t="inlineStr">
        <is>
          <t>893806876</t>
        </is>
      </c>
    </row>
    <row r="626">
      <c r="A626" t="inlineStr">
        <is>
          <t>No</t>
        </is>
      </c>
      <c r="B626" t="inlineStr">
        <is>
          <t>BV4525 .A54 1986</t>
        </is>
      </c>
      <c r="C626" t="inlineStr">
        <is>
          <t>0                      BV 4525000A  54          1986</t>
        </is>
      </c>
      <c r="D626" t="inlineStr">
        <is>
          <t>Ministry of the laity / James D. Anderson, Ezra Earl Jones.</t>
        </is>
      </c>
      <c r="F626" t="inlineStr">
        <is>
          <t>No</t>
        </is>
      </c>
      <c r="G626" t="inlineStr">
        <is>
          <t>1</t>
        </is>
      </c>
      <c r="H626" t="inlineStr">
        <is>
          <t>No</t>
        </is>
      </c>
      <c r="I626" t="inlineStr">
        <is>
          <t>No</t>
        </is>
      </c>
      <c r="J626" t="inlineStr">
        <is>
          <t>0</t>
        </is>
      </c>
      <c r="K626" t="inlineStr">
        <is>
          <t>Anderson, James D. (James Desmond)</t>
        </is>
      </c>
      <c r="L626" t="inlineStr">
        <is>
          <t>San Francisco : Harper &amp; Row, c1986.</t>
        </is>
      </c>
      <c r="M626" t="inlineStr">
        <is>
          <t>1986</t>
        </is>
      </c>
      <c r="N626" t="inlineStr">
        <is>
          <t>1st ed.</t>
        </is>
      </c>
      <c r="O626" t="inlineStr">
        <is>
          <t>eng</t>
        </is>
      </c>
      <c r="P626" t="inlineStr">
        <is>
          <t>cau</t>
        </is>
      </c>
      <c r="R626" t="inlineStr">
        <is>
          <t xml:space="preserve">BV </t>
        </is>
      </c>
      <c r="S626" t="n">
        <v>2</v>
      </c>
      <c r="T626" t="n">
        <v>2</v>
      </c>
      <c r="U626" t="inlineStr">
        <is>
          <t>1994-10-04</t>
        </is>
      </c>
      <c r="V626" t="inlineStr">
        <is>
          <t>1994-10-04</t>
        </is>
      </c>
      <c r="W626" t="inlineStr">
        <is>
          <t>1992-02-28</t>
        </is>
      </c>
      <c r="X626" t="inlineStr">
        <is>
          <t>1992-02-28</t>
        </is>
      </c>
      <c r="Y626" t="n">
        <v>311</v>
      </c>
      <c r="Z626" t="n">
        <v>271</v>
      </c>
      <c r="AA626" t="n">
        <v>278</v>
      </c>
      <c r="AB626" t="n">
        <v>2</v>
      </c>
      <c r="AC626" t="n">
        <v>2</v>
      </c>
      <c r="AD626" t="n">
        <v>19</v>
      </c>
      <c r="AE626" t="n">
        <v>19</v>
      </c>
      <c r="AF626" t="n">
        <v>10</v>
      </c>
      <c r="AG626" t="n">
        <v>10</v>
      </c>
      <c r="AH626" t="n">
        <v>4</v>
      </c>
      <c r="AI626" t="n">
        <v>4</v>
      </c>
      <c r="AJ626" t="n">
        <v>9</v>
      </c>
      <c r="AK626" t="n">
        <v>9</v>
      </c>
      <c r="AL626" t="n">
        <v>1</v>
      </c>
      <c r="AM626" t="n">
        <v>1</v>
      </c>
      <c r="AN626" t="n">
        <v>0</v>
      </c>
      <c r="AO626" t="n">
        <v>0</v>
      </c>
      <c r="AP626" t="inlineStr">
        <is>
          <t>No</t>
        </is>
      </c>
      <c r="AQ626" t="inlineStr">
        <is>
          <t>Yes</t>
        </is>
      </c>
      <c r="AR626">
        <f>HYPERLINK("http://catalog.hathitrust.org/Record/009440512","HathiTrust Record")</f>
        <v/>
      </c>
      <c r="AS626">
        <f>HYPERLINK("https://creighton-primo.hosted.exlibrisgroup.com/primo-explore/search?tab=default_tab&amp;search_scope=EVERYTHING&amp;vid=01CRU&amp;lang=en_US&amp;offset=0&amp;query=any,contains,991000823829702656","Catalog Record")</f>
        <v/>
      </c>
      <c r="AT626">
        <f>HYPERLINK("http://www.worldcat.org/oclc/13397396","WorldCat Record")</f>
        <v/>
      </c>
      <c r="AU626" t="inlineStr">
        <is>
          <t>7850423:eng</t>
        </is>
      </c>
      <c r="AV626" t="inlineStr">
        <is>
          <t>13397396</t>
        </is>
      </c>
      <c r="AW626" t="inlineStr">
        <is>
          <t>991000823829702656</t>
        </is>
      </c>
      <c r="AX626" t="inlineStr">
        <is>
          <t>991000823829702656</t>
        </is>
      </c>
      <c r="AY626" t="inlineStr">
        <is>
          <t>2263930920002656</t>
        </is>
      </c>
      <c r="AZ626" t="inlineStr">
        <is>
          <t>BOOK</t>
        </is>
      </c>
      <c r="BB626" t="inlineStr">
        <is>
          <t>9780060601942</t>
        </is>
      </c>
      <c r="BC626" t="inlineStr">
        <is>
          <t>32285000967157</t>
        </is>
      </c>
      <c r="BD626" t="inlineStr">
        <is>
          <t>893714927</t>
        </is>
      </c>
    </row>
    <row r="627">
      <c r="A627" t="inlineStr">
        <is>
          <t>No</t>
        </is>
      </c>
      <c r="B627" t="inlineStr">
        <is>
          <t>BV4526 .C52 1985</t>
        </is>
      </c>
      <c r="C627" t="inlineStr">
        <is>
          <t>0                      BV 4526000C  52          1985</t>
        </is>
      </c>
      <c r="D627" t="inlineStr">
        <is>
          <t>The Challenge of peace, a challenge to parents : a reflective resource for parents / Commission on Marriage and Family Life, Department of Education, United States Catholic Conference.</t>
        </is>
      </c>
      <c r="F627" t="inlineStr">
        <is>
          <t>No</t>
        </is>
      </c>
      <c r="G627" t="inlineStr">
        <is>
          <t>1</t>
        </is>
      </c>
      <c r="H627" t="inlineStr">
        <is>
          <t>No</t>
        </is>
      </c>
      <c r="I627" t="inlineStr">
        <is>
          <t>No</t>
        </is>
      </c>
      <c r="J627" t="inlineStr">
        <is>
          <t>0</t>
        </is>
      </c>
      <c r="L627" t="inlineStr">
        <is>
          <t>Washington, D.C. : Office of Publishing and Promotion Services, United States Catholic Conference, c1985.</t>
        </is>
      </c>
      <c r="M627" t="inlineStr">
        <is>
          <t>1985</t>
        </is>
      </c>
      <c r="O627" t="inlineStr">
        <is>
          <t>eng</t>
        </is>
      </c>
      <c r="P627" t="inlineStr">
        <is>
          <t>dcu</t>
        </is>
      </c>
      <c r="Q627" t="inlineStr">
        <is>
          <t>Family life renewal ; v. 1</t>
        </is>
      </c>
      <c r="R627" t="inlineStr">
        <is>
          <t xml:space="preserve">BV </t>
        </is>
      </c>
      <c r="S627" t="n">
        <v>4</v>
      </c>
      <c r="T627" t="n">
        <v>4</v>
      </c>
      <c r="U627" t="inlineStr">
        <is>
          <t>1995-04-13</t>
        </is>
      </c>
      <c r="V627" t="inlineStr">
        <is>
          <t>1995-04-13</t>
        </is>
      </c>
      <c r="W627" t="inlineStr">
        <is>
          <t>1992-02-28</t>
        </is>
      </c>
      <c r="X627" t="inlineStr">
        <is>
          <t>1992-02-28</t>
        </is>
      </c>
      <c r="Y627" t="n">
        <v>37</v>
      </c>
      <c r="Z627" t="n">
        <v>37</v>
      </c>
      <c r="AA627" t="n">
        <v>67</v>
      </c>
      <c r="AB627" t="n">
        <v>1</v>
      </c>
      <c r="AC627" t="n">
        <v>1</v>
      </c>
      <c r="AD627" t="n">
        <v>11</v>
      </c>
      <c r="AE627" t="n">
        <v>13</v>
      </c>
      <c r="AF627" t="n">
        <v>5</v>
      </c>
      <c r="AG627" t="n">
        <v>5</v>
      </c>
      <c r="AH627" t="n">
        <v>3</v>
      </c>
      <c r="AI627" t="n">
        <v>3</v>
      </c>
      <c r="AJ627" t="n">
        <v>9</v>
      </c>
      <c r="AK627" t="n">
        <v>11</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HYPERLINK("https://creighton-primo.hosted.exlibrisgroup.com/primo-explore/search?tab=default_tab&amp;search_scope=EVERYTHING&amp;vid=01CRU&amp;lang=en_US&amp;offset=0&amp;query=any,contains,991000689349702656","Catalog Record")</f>
        <v/>
      </c>
      <c r="AT627">
        <f>HYPERLINK("http://www.worldcat.org/oclc/12437282","WorldCat Record")</f>
        <v/>
      </c>
      <c r="AU627" t="inlineStr">
        <is>
          <t>7013288:eng</t>
        </is>
      </c>
      <c r="AV627" t="inlineStr">
        <is>
          <t>12437282</t>
        </is>
      </c>
      <c r="AW627" t="inlineStr">
        <is>
          <t>991000689349702656</t>
        </is>
      </c>
      <c r="AX627" t="inlineStr">
        <is>
          <t>991000689349702656</t>
        </is>
      </c>
      <c r="AY627" t="inlineStr">
        <is>
          <t>2258710470002656</t>
        </is>
      </c>
      <c r="AZ627" t="inlineStr">
        <is>
          <t>BOOK</t>
        </is>
      </c>
      <c r="BC627" t="inlineStr">
        <is>
          <t>32285000967165</t>
        </is>
      </c>
      <c r="BD627" t="inlineStr">
        <is>
          <t>893878269</t>
        </is>
      </c>
    </row>
    <row r="628">
      <c r="A628" t="inlineStr">
        <is>
          <t>No</t>
        </is>
      </c>
      <c r="B628" t="inlineStr">
        <is>
          <t>BV4526.2 .B44 2002</t>
        </is>
      </c>
      <c r="C628" t="inlineStr">
        <is>
          <t>0                      BV 4526200B  44          2002</t>
        </is>
      </c>
      <c r="D628" t="inlineStr">
        <is>
          <t>Growing up Protestant : parents, children, and mainline churches / Margaret Lamberts Bendroth.</t>
        </is>
      </c>
      <c r="F628" t="inlineStr">
        <is>
          <t>No</t>
        </is>
      </c>
      <c r="G628" t="inlineStr">
        <is>
          <t>1</t>
        </is>
      </c>
      <c r="H628" t="inlineStr">
        <is>
          <t>No</t>
        </is>
      </c>
      <c r="I628" t="inlineStr">
        <is>
          <t>No</t>
        </is>
      </c>
      <c r="J628" t="inlineStr">
        <is>
          <t>0</t>
        </is>
      </c>
      <c r="K628" t="inlineStr">
        <is>
          <t>Bendroth, Margaret Lamberts, 1954-</t>
        </is>
      </c>
      <c r="L628" t="inlineStr">
        <is>
          <t>New Brunswick, N.J. : Rutgers University Press, c2002.</t>
        </is>
      </c>
      <c r="M628" t="inlineStr">
        <is>
          <t>2002</t>
        </is>
      </c>
      <c r="O628" t="inlineStr">
        <is>
          <t>eng</t>
        </is>
      </c>
      <c r="P628" t="inlineStr">
        <is>
          <t>nju</t>
        </is>
      </c>
      <c r="R628" t="inlineStr">
        <is>
          <t xml:space="preserve">BV </t>
        </is>
      </c>
      <c r="S628" t="n">
        <v>2</v>
      </c>
      <c r="T628" t="n">
        <v>2</v>
      </c>
      <c r="U628" t="inlineStr">
        <is>
          <t>2002-04-17</t>
        </is>
      </c>
      <c r="V628" t="inlineStr">
        <is>
          <t>2002-04-17</t>
        </is>
      </c>
      <c r="W628" t="inlineStr">
        <is>
          <t>2002-04-04</t>
        </is>
      </c>
      <c r="X628" t="inlineStr">
        <is>
          <t>2002-04-04</t>
        </is>
      </c>
      <c r="Y628" t="n">
        <v>355</v>
      </c>
      <c r="Z628" t="n">
        <v>312</v>
      </c>
      <c r="AA628" t="n">
        <v>312</v>
      </c>
      <c r="AB628" t="n">
        <v>3</v>
      </c>
      <c r="AC628" t="n">
        <v>3</v>
      </c>
      <c r="AD628" t="n">
        <v>20</v>
      </c>
      <c r="AE628" t="n">
        <v>20</v>
      </c>
      <c r="AF628" t="n">
        <v>7</v>
      </c>
      <c r="AG628" t="n">
        <v>7</v>
      </c>
      <c r="AH628" t="n">
        <v>5</v>
      </c>
      <c r="AI628" t="n">
        <v>5</v>
      </c>
      <c r="AJ628" t="n">
        <v>10</v>
      </c>
      <c r="AK628" t="n">
        <v>10</v>
      </c>
      <c r="AL628" t="n">
        <v>2</v>
      </c>
      <c r="AM628" t="n">
        <v>2</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HYPERLINK("https://creighton-primo.hosted.exlibrisgroup.com/primo-explore/search?tab=default_tab&amp;search_scope=EVERYTHING&amp;vid=01CRU&amp;lang=en_US&amp;offset=0&amp;query=any,contains,991003763799702656","Catalog Record")</f>
        <v/>
      </c>
      <c r="AT628">
        <f>HYPERLINK("http://www.worldcat.org/oclc/46872150","WorldCat Record")</f>
        <v/>
      </c>
      <c r="AU628" t="inlineStr">
        <is>
          <t>198498781:eng</t>
        </is>
      </c>
      <c r="AV628" t="inlineStr">
        <is>
          <t>46872150</t>
        </is>
      </c>
      <c r="AW628" t="inlineStr">
        <is>
          <t>991003763799702656</t>
        </is>
      </c>
      <c r="AX628" t="inlineStr">
        <is>
          <t>991003763799702656</t>
        </is>
      </c>
      <c r="AY628" t="inlineStr">
        <is>
          <t>2271867840002656</t>
        </is>
      </c>
      <c r="AZ628" t="inlineStr">
        <is>
          <t>BOOK</t>
        </is>
      </c>
      <c r="BB628" t="inlineStr">
        <is>
          <t>9780813530130</t>
        </is>
      </c>
      <c r="BC628" t="inlineStr">
        <is>
          <t>32285004477104</t>
        </is>
      </c>
      <c r="BD628" t="inlineStr">
        <is>
          <t>893598951</t>
        </is>
      </c>
    </row>
    <row r="629">
      <c r="A629" t="inlineStr">
        <is>
          <t>No</t>
        </is>
      </c>
      <c r="B629" t="inlineStr">
        <is>
          <t>BV4526.2 .F36 1996</t>
        </is>
      </c>
      <c r="C629" t="inlineStr">
        <is>
          <t>0                      BV 4526200F  36          1996</t>
        </is>
      </c>
      <c r="D629" t="inlineStr">
        <is>
          <t>The family in theological perspective / edited by Stephen C. Barton.</t>
        </is>
      </c>
      <c r="F629" t="inlineStr">
        <is>
          <t>No</t>
        </is>
      </c>
      <c r="G629" t="inlineStr">
        <is>
          <t>1</t>
        </is>
      </c>
      <c r="H629" t="inlineStr">
        <is>
          <t>No</t>
        </is>
      </c>
      <c r="I629" t="inlineStr">
        <is>
          <t>No</t>
        </is>
      </c>
      <c r="J629" t="inlineStr">
        <is>
          <t>0</t>
        </is>
      </c>
      <c r="L629" t="inlineStr">
        <is>
          <t>Edinburgh : T&amp;T Clark, 1996.</t>
        </is>
      </c>
      <c r="M629" t="inlineStr">
        <is>
          <t>1996</t>
        </is>
      </c>
      <c r="O629" t="inlineStr">
        <is>
          <t>eng</t>
        </is>
      </c>
      <c r="P629" t="inlineStr">
        <is>
          <t>stk</t>
        </is>
      </c>
      <c r="R629" t="inlineStr">
        <is>
          <t xml:space="preserve">BV </t>
        </is>
      </c>
      <c r="S629" t="n">
        <v>4</v>
      </c>
      <c r="T629" t="n">
        <v>4</v>
      </c>
      <c r="U629" t="inlineStr">
        <is>
          <t>2004-04-13</t>
        </is>
      </c>
      <c r="V629" t="inlineStr">
        <is>
          <t>2004-04-13</t>
        </is>
      </c>
      <c r="W629" t="inlineStr">
        <is>
          <t>1997-04-16</t>
        </is>
      </c>
      <c r="X629" t="inlineStr">
        <is>
          <t>1997-04-16</t>
        </is>
      </c>
      <c r="Y629" t="n">
        <v>279</v>
      </c>
      <c r="Z629" t="n">
        <v>196</v>
      </c>
      <c r="AA629" t="n">
        <v>198</v>
      </c>
      <c r="AB629" t="n">
        <v>2</v>
      </c>
      <c r="AC629" t="n">
        <v>2</v>
      </c>
      <c r="AD629" t="n">
        <v>15</v>
      </c>
      <c r="AE629" t="n">
        <v>15</v>
      </c>
      <c r="AF629" t="n">
        <v>6</v>
      </c>
      <c r="AG629" t="n">
        <v>6</v>
      </c>
      <c r="AH629" t="n">
        <v>3</v>
      </c>
      <c r="AI629" t="n">
        <v>3</v>
      </c>
      <c r="AJ629" t="n">
        <v>10</v>
      </c>
      <c r="AK629" t="n">
        <v>10</v>
      </c>
      <c r="AL629" t="n">
        <v>1</v>
      </c>
      <c r="AM629" t="n">
        <v>1</v>
      </c>
      <c r="AN629" t="n">
        <v>0</v>
      </c>
      <c r="AO629" t="n">
        <v>0</v>
      </c>
      <c r="AP629" t="inlineStr">
        <is>
          <t>No</t>
        </is>
      </c>
      <c r="AQ629" t="inlineStr">
        <is>
          <t>Yes</t>
        </is>
      </c>
      <c r="AR629">
        <f>HYPERLINK("http://catalog.hathitrust.org/Record/003138044","HathiTrust Record")</f>
        <v/>
      </c>
      <c r="AS629">
        <f>HYPERLINK("https://creighton-primo.hosted.exlibrisgroup.com/primo-explore/search?tab=default_tab&amp;search_scope=EVERYTHING&amp;vid=01CRU&amp;lang=en_US&amp;offset=0&amp;query=any,contains,991002731769702656","Catalog Record")</f>
        <v/>
      </c>
      <c r="AT629">
        <f>HYPERLINK("http://www.worldcat.org/oclc/59655801","WorldCat Record")</f>
        <v/>
      </c>
      <c r="AU629" t="inlineStr">
        <is>
          <t>20557796:eng</t>
        </is>
      </c>
      <c r="AV629" t="inlineStr">
        <is>
          <t>59655801</t>
        </is>
      </c>
      <c r="AW629" t="inlineStr">
        <is>
          <t>991002731769702656</t>
        </is>
      </c>
      <c r="AX629" t="inlineStr">
        <is>
          <t>991002731769702656</t>
        </is>
      </c>
      <c r="AY629" t="inlineStr">
        <is>
          <t>2268230530002656</t>
        </is>
      </c>
      <c r="AZ629" t="inlineStr">
        <is>
          <t>BOOK</t>
        </is>
      </c>
      <c r="BB629" t="inlineStr">
        <is>
          <t>9780567085221</t>
        </is>
      </c>
      <c r="BC629" t="inlineStr">
        <is>
          <t>32285002497765</t>
        </is>
      </c>
      <c r="BD629" t="inlineStr">
        <is>
          <t>893504754</t>
        </is>
      </c>
    </row>
    <row r="630">
      <c r="A630" t="inlineStr">
        <is>
          <t>No</t>
        </is>
      </c>
      <c r="B630" t="inlineStr">
        <is>
          <t>BV4526.2 .M588 1992</t>
        </is>
      </c>
      <c r="C630" t="inlineStr">
        <is>
          <t>0                      BV 4526200M  588         1992</t>
        </is>
      </c>
      <c r="D630" t="inlineStr">
        <is>
          <t>Religion, family, and the life course : explorations in the social history of early America / Gerald F. Moran and Maris A. Vinovskis.</t>
        </is>
      </c>
      <c r="F630" t="inlineStr">
        <is>
          <t>No</t>
        </is>
      </c>
      <c r="G630" t="inlineStr">
        <is>
          <t>1</t>
        </is>
      </c>
      <c r="H630" t="inlineStr">
        <is>
          <t>No</t>
        </is>
      </c>
      <c r="I630" t="inlineStr">
        <is>
          <t>No</t>
        </is>
      </c>
      <c r="J630" t="inlineStr">
        <is>
          <t>0</t>
        </is>
      </c>
      <c r="K630" t="inlineStr">
        <is>
          <t>Moran, Gerald F. (Gerald Francis), 1942-</t>
        </is>
      </c>
      <c r="L630" t="inlineStr">
        <is>
          <t>Ann Arbor : University of Michigan Press, c1992.</t>
        </is>
      </c>
      <c r="M630" t="inlineStr">
        <is>
          <t>1992</t>
        </is>
      </c>
      <c r="O630" t="inlineStr">
        <is>
          <t>eng</t>
        </is>
      </c>
      <c r="P630" t="inlineStr">
        <is>
          <t>miu</t>
        </is>
      </c>
      <c r="R630" t="inlineStr">
        <is>
          <t xml:space="preserve">BV </t>
        </is>
      </c>
      <c r="S630" t="n">
        <v>8</v>
      </c>
      <c r="T630" t="n">
        <v>8</v>
      </c>
      <c r="U630" t="inlineStr">
        <is>
          <t>2004-04-08</t>
        </is>
      </c>
      <c r="V630" t="inlineStr">
        <is>
          <t>2004-04-08</t>
        </is>
      </c>
      <c r="W630" t="inlineStr">
        <is>
          <t>1992-10-15</t>
        </is>
      </c>
      <c r="X630" t="inlineStr">
        <is>
          <t>1992-10-15</t>
        </is>
      </c>
      <c r="Y630" t="n">
        <v>397</v>
      </c>
      <c r="Z630" t="n">
        <v>341</v>
      </c>
      <c r="AA630" t="n">
        <v>343</v>
      </c>
      <c r="AB630" t="n">
        <v>3</v>
      </c>
      <c r="AC630" t="n">
        <v>3</v>
      </c>
      <c r="AD630" t="n">
        <v>20</v>
      </c>
      <c r="AE630" t="n">
        <v>20</v>
      </c>
      <c r="AF630" t="n">
        <v>8</v>
      </c>
      <c r="AG630" t="n">
        <v>8</v>
      </c>
      <c r="AH630" t="n">
        <v>4</v>
      </c>
      <c r="AI630" t="n">
        <v>4</v>
      </c>
      <c r="AJ630" t="n">
        <v>13</v>
      </c>
      <c r="AK630" t="n">
        <v>13</v>
      </c>
      <c r="AL630" t="n">
        <v>2</v>
      </c>
      <c r="AM630" t="n">
        <v>2</v>
      </c>
      <c r="AN630" t="n">
        <v>0</v>
      </c>
      <c r="AO630" t="n">
        <v>0</v>
      </c>
      <c r="AP630" t="inlineStr">
        <is>
          <t>No</t>
        </is>
      </c>
      <c r="AQ630" t="inlineStr">
        <is>
          <t>Yes</t>
        </is>
      </c>
      <c r="AR630">
        <f>HYPERLINK("http://catalog.hathitrust.org/Record/002557658","HathiTrust Record")</f>
        <v/>
      </c>
      <c r="AS630">
        <f>HYPERLINK("https://creighton-primo.hosted.exlibrisgroup.com/primo-explore/search?tab=default_tab&amp;search_scope=EVERYTHING&amp;vid=01CRU&amp;lang=en_US&amp;offset=0&amp;query=any,contains,991001987399702656","Catalog Record")</f>
        <v/>
      </c>
      <c r="AT630">
        <f>HYPERLINK("http://www.worldcat.org/oclc/25246363","WorldCat Record")</f>
        <v/>
      </c>
      <c r="AU630" t="inlineStr">
        <is>
          <t>28401287:eng</t>
        </is>
      </c>
      <c r="AV630" t="inlineStr">
        <is>
          <t>25246363</t>
        </is>
      </c>
      <c r="AW630" t="inlineStr">
        <is>
          <t>991001987399702656</t>
        </is>
      </c>
      <c r="AX630" t="inlineStr">
        <is>
          <t>991001987399702656</t>
        </is>
      </c>
      <c r="AY630" t="inlineStr">
        <is>
          <t>2256320120002656</t>
        </is>
      </c>
      <c r="AZ630" t="inlineStr">
        <is>
          <t>BOOK</t>
        </is>
      </c>
      <c r="BB630" t="inlineStr">
        <is>
          <t>9780472103126</t>
        </is>
      </c>
      <c r="BC630" t="inlineStr">
        <is>
          <t>32285001318004</t>
        </is>
      </c>
      <c r="BD630" t="inlineStr">
        <is>
          <t>893439647</t>
        </is>
      </c>
    </row>
    <row r="631">
      <c r="A631" t="inlineStr">
        <is>
          <t>No</t>
        </is>
      </c>
      <c r="B631" t="inlineStr">
        <is>
          <t>BV4526.2 .N675 1998</t>
        </is>
      </c>
      <c r="C631" t="inlineStr">
        <is>
          <t>0                      BV 4526200N  675         1998</t>
        </is>
      </c>
      <c r="D631" t="inlineStr">
        <is>
          <t>The quotidian mysteries : laundry, liturgy, and "women's work" / Kathleen Norris.</t>
        </is>
      </c>
      <c r="F631" t="inlineStr">
        <is>
          <t>No</t>
        </is>
      </c>
      <c r="G631" t="inlineStr">
        <is>
          <t>1</t>
        </is>
      </c>
      <c r="H631" t="inlineStr">
        <is>
          <t>No</t>
        </is>
      </c>
      <c r="I631" t="inlineStr">
        <is>
          <t>No</t>
        </is>
      </c>
      <c r="J631" t="inlineStr">
        <is>
          <t>0</t>
        </is>
      </c>
      <c r="K631" t="inlineStr">
        <is>
          <t>Norris, Kathleen, 1947-</t>
        </is>
      </c>
      <c r="L631" t="inlineStr">
        <is>
          <t>New York : Paulist Press, c1998.</t>
        </is>
      </c>
      <c r="M631" t="inlineStr">
        <is>
          <t>1998</t>
        </is>
      </c>
      <c r="O631" t="inlineStr">
        <is>
          <t>eng</t>
        </is>
      </c>
      <c r="P631" t="inlineStr">
        <is>
          <t>nyu</t>
        </is>
      </c>
      <c r="Q631" t="inlineStr">
        <is>
          <t>Madeleva lecture in spirituality ; 1998</t>
        </is>
      </c>
      <c r="R631" t="inlineStr">
        <is>
          <t xml:space="preserve">BV </t>
        </is>
      </c>
      <c r="S631" t="n">
        <v>8</v>
      </c>
      <c r="T631" t="n">
        <v>8</v>
      </c>
      <c r="U631" t="inlineStr">
        <is>
          <t>2004-04-05</t>
        </is>
      </c>
      <c r="V631" t="inlineStr">
        <is>
          <t>2004-04-05</t>
        </is>
      </c>
      <c r="W631" t="inlineStr">
        <is>
          <t>1998-12-02</t>
        </is>
      </c>
      <c r="X631" t="inlineStr">
        <is>
          <t>1998-12-02</t>
        </is>
      </c>
      <c r="Y631" t="n">
        <v>419</v>
      </c>
      <c r="Z631" t="n">
        <v>383</v>
      </c>
      <c r="AA631" t="n">
        <v>387</v>
      </c>
      <c r="AB631" t="n">
        <v>5</v>
      </c>
      <c r="AC631" t="n">
        <v>5</v>
      </c>
      <c r="AD631" t="n">
        <v>25</v>
      </c>
      <c r="AE631" t="n">
        <v>25</v>
      </c>
      <c r="AF631" t="n">
        <v>7</v>
      </c>
      <c r="AG631" t="n">
        <v>7</v>
      </c>
      <c r="AH631" t="n">
        <v>5</v>
      </c>
      <c r="AI631" t="n">
        <v>5</v>
      </c>
      <c r="AJ631" t="n">
        <v>16</v>
      </c>
      <c r="AK631" t="n">
        <v>16</v>
      </c>
      <c r="AL631" t="n">
        <v>3</v>
      </c>
      <c r="AM631" t="n">
        <v>3</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HYPERLINK("https://creighton-primo.hosted.exlibrisgroup.com/primo-explore/search?tab=default_tab&amp;search_scope=EVERYTHING&amp;vid=01CRU&amp;lang=en_US&amp;offset=0&amp;query=any,contains,991005427709702656","Catalog Record")</f>
        <v/>
      </c>
      <c r="AT631">
        <f>HYPERLINK("http://www.worldcat.org/oclc/38216138","WorldCat Record")</f>
        <v/>
      </c>
      <c r="AU631" t="inlineStr">
        <is>
          <t>4797820787:eng</t>
        </is>
      </c>
      <c r="AV631" t="inlineStr">
        <is>
          <t>38216138</t>
        </is>
      </c>
      <c r="AW631" t="inlineStr">
        <is>
          <t>991005427709702656</t>
        </is>
      </c>
      <c r="AX631" t="inlineStr">
        <is>
          <t>991005427709702656</t>
        </is>
      </c>
      <c r="AY631" t="inlineStr">
        <is>
          <t>2255641970002656</t>
        </is>
      </c>
      <c r="AZ631" t="inlineStr">
        <is>
          <t>BOOK</t>
        </is>
      </c>
      <c r="BB631" t="inlineStr">
        <is>
          <t>9780809138012</t>
        </is>
      </c>
      <c r="BC631" t="inlineStr">
        <is>
          <t>32285003493169</t>
        </is>
      </c>
      <c r="BD631" t="inlineStr">
        <is>
          <t>893783672</t>
        </is>
      </c>
    </row>
    <row r="632">
      <c r="A632" t="inlineStr">
        <is>
          <t>No</t>
        </is>
      </c>
      <c r="B632" t="inlineStr">
        <is>
          <t>BV4526.2 .R62 2000</t>
        </is>
      </c>
      <c r="C632" t="inlineStr">
        <is>
          <t>0                      BV 4526200R  62          2000</t>
        </is>
      </c>
      <c r="D632" t="inlineStr">
        <is>
          <t>The family cloister : Benedictine wisdom for the home / David Robinson.</t>
        </is>
      </c>
      <c r="F632" t="inlineStr">
        <is>
          <t>No</t>
        </is>
      </c>
      <c r="G632" t="inlineStr">
        <is>
          <t>1</t>
        </is>
      </c>
      <c r="H632" t="inlineStr">
        <is>
          <t>No</t>
        </is>
      </c>
      <c r="I632" t="inlineStr">
        <is>
          <t>No</t>
        </is>
      </c>
      <c r="J632" t="inlineStr">
        <is>
          <t>0</t>
        </is>
      </c>
      <c r="K632" t="inlineStr">
        <is>
          <t>Robinson, David, 1957-</t>
        </is>
      </c>
      <c r="L632" t="inlineStr">
        <is>
          <t>New York : Crossroad Pub. Co., c2000.</t>
        </is>
      </c>
      <c r="M632" t="inlineStr">
        <is>
          <t>2000</t>
        </is>
      </c>
      <c r="O632" t="inlineStr">
        <is>
          <t>eng</t>
        </is>
      </c>
      <c r="P632" t="inlineStr">
        <is>
          <t>nyu</t>
        </is>
      </c>
      <c r="R632" t="inlineStr">
        <is>
          <t xml:space="preserve">BV </t>
        </is>
      </c>
      <c r="S632" t="n">
        <v>4</v>
      </c>
      <c r="T632" t="n">
        <v>4</v>
      </c>
      <c r="U632" t="inlineStr">
        <is>
          <t>2010-07-11</t>
        </is>
      </c>
      <c r="V632" t="inlineStr">
        <is>
          <t>2010-07-11</t>
        </is>
      </c>
      <c r="W632" t="inlineStr">
        <is>
          <t>2001-08-14</t>
        </is>
      </c>
      <c r="X632" t="inlineStr">
        <is>
          <t>2001-08-14</t>
        </is>
      </c>
      <c r="Y632" t="n">
        <v>77</v>
      </c>
      <c r="Z632" t="n">
        <v>68</v>
      </c>
      <c r="AA632" t="n">
        <v>73</v>
      </c>
      <c r="AB632" t="n">
        <v>1</v>
      </c>
      <c r="AC632" t="n">
        <v>1</v>
      </c>
      <c r="AD632" t="n">
        <v>7</v>
      </c>
      <c r="AE632" t="n">
        <v>7</v>
      </c>
      <c r="AF632" t="n">
        <v>3</v>
      </c>
      <c r="AG632" t="n">
        <v>3</v>
      </c>
      <c r="AH632" t="n">
        <v>1</v>
      </c>
      <c r="AI632" t="n">
        <v>1</v>
      </c>
      <c r="AJ632" t="n">
        <v>3</v>
      </c>
      <c r="AK632" t="n">
        <v>3</v>
      </c>
      <c r="AL632" t="n">
        <v>0</v>
      </c>
      <c r="AM632" t="n">
        <v>0</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HYPERLINK("https://creighton-primo.hosted.exlibrisgroup.com/primo-explore/search?tab=default_tab&amp;search_scope=EVERYTHING&amp;vid=01CRU&amp;lang=en_US&amp;offset=0&amp;query=any,contains,991003577399702656","Catalog Record")</f>
        <v/>
      </c>
      <c r="AT632">
        <f>HYPERLINK("http://www.worldcat.org/oclc/41452575","WorldCat Record")</f>
        <v/>
      </c>
      <c r="AU632" t="inlineStr">
        <is>
          <t>1673268885:eng</t>
        </is>
      </c>
      <c r="AV632" t="inlineStr">
        <is>
          <t>41452575</t>
        </is>
      </c>
      <c r="AW632" t="inlineStr">
        <is>
          <t>991003577399702656</t>
        </is>
      </c>
      <c r="AX632" t="inlineStr">
        <is>
          <t>991003577399702656</t>
        </is>
      </c>
      <c r="AY632" t="inlineStr">
        <is>
          <t>2262804280002656</t>
        </is>
      </c>
      <c r="AZ632" t="inlineStr">
        <is>
          <t>BOOK</t>
        </is>
      </c>
      <c r="BB632" t="inlineStr">
        <is>
          <t>9780824518271</t>
        </is>
      </c>
      <c r="BC632" t="inlineStr">
        <is>
          <t>32285004377700</t>
        </is>
      </c>
      <c r="BD632" t="inlineStr">
        <is>
          <t>893318118</t>
        </is>
      </c>
    </row>
    <row r="633">
      <c r="A633" t="inlineStr">
        <is>
          <t>No</t>
        </is>
      </c>
      <c r="B633" t="inlineStr">
        <is>
          <t>BV4526.2 .S67 1997</t>
        </is>
      </c>
      <c r="C633" t="inlineStr">
        <is>
          <t>0                      BV 4526200S  67          1997</t>
        </is>
      </c>
      <c r="D633" t="inlineStr">
        <is>
          <t>Covenant and commitments : faith, family, and economic life / Max L. Stackhouse.</t>
        </is>
      </c>
      <c r="F633" t="inlineStr">
        <is>
          <t>No</t>
        </is>
      </c>
      <c r="G633" t="inlineStr">
        <is>
          <t>1</t>
        </is>
      </c>
      <c r="H633" t="inlineStr">
        <is>
          <t>No</t>
        </is>
      </c>
      <c r="I633" t="inlineStr">
        <is>
          <t>No</t>
        </is>
      </c>
      <c r="J633" t="inlineStr">
        <is>
          <t>0</t>
        </is>
      </c>
      <c r="K633" t="inlineStr">
        <is>
          <t>Stackhouse, Max L.</t>
        </is>
      </c>
      <c r="L633" t="inlineStr">
        <is>
          <t>Louisville, Ky. : Westminster John Knox Press, c1997.</t>
        </is>
      </c>
      <c r="M633" t="inlineStr">
        <is>
          <t>1997</t>
        </is>
      </c>
      <c r="N633" t="inlineStr">
        <is>
          <t>1st ed.</t>
        </is>
      </c>
      <c r="O633" t="inlineStr">
        <is>
          <t>eng</t>
        </is>
      </c>
      <c r="P633" t="inlineStr">
        <is>
          <t>kyu</t>
        </is>
      </c>
      <c r="Q633" t="inlineStr">
        <is>
          <t>The family, religion, and culture</t>
        </is>
      </c>
      <c r="R633" t="inlineStr">
        <is>
          <t xml:space="preserve">BV </t>
        </is>
      </c>
      <c r="S633" t="n">
        <v>2</v>
      </c>
      <c r="T633" t="n">
        <v>2</v>
      </c>
      <c r="U633" t="inlineStr">
        <is>
          <t>2004-04-08</t>
        </is>
      </c>
      <c r="V633" t="inlineStr">
        <is>
          <t>2004-04-08</t>
        </is>
      </c>
      <c r="W633" t="inlineStr">
        <is>
          <t>1998-10-07</t>
        </is>
      </c>
      <c r="X633" t="inlineStr">
        <is>
          <t>1998-10-07</t>
        </is>
      </c>
      <c r="Y633" t="n">
        <v>330</v>
      </c>
      <c r="Z633" t="n">
        <v>267</v>
      </c>
      <c r="AA633" t="n">
        <v>271</v>
      </c>
      <c r="AB633" t="n">
        <v>3</v>
      </c>
      <c r="AC633" t="n">
        <v>3</v>
      </c>
      <c r="AD633" t="n">
        <v>21</v>
      </c>
      <c r="AE633" t="n">
        <v>21</v>
      </c>
      <c r="AF633" t="n">
        <v>9</v>
      </c>
      <c r="AG633" t="n">
        <v>9</v>
      </c>
      <c r="AH633" t="n">
        <v>5</v>
      </c>
      <c r="AI633" t="n">
        <v>5</v>
      </c>
      <c r="AJ633" t="n">
        <v>12</v>
      </c>
      <c r="AK633" t="n">
        <v>12</v>
      </c>
      <c r="AL633" t="n">
        <v>2</v>
      </c>
      <c r="AM633" t="n">
        <v>2</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HYPERLINK("https://creighton-primo.hosted.exlibrisgroup.com/primo-explore/search?tab=default_tab&amp;search_scope=EVERYTHING&amp;vid=01CRU&amp;lang=en_US&amp;offset=0&amp;query=any,contains,991002743729702656","Catalog Record")</f>
        <v/>
      </c>
      <c r="AT633">
        <f>HYPERLINK("http://www.worldcat.org/oclc/36017094","WorldCat Record")</f>
        <v/>
      </c>
      <c r="AU633" t="inlineStr">
        <is>
          <t>906564828:eng</t>
        </is>
      </c>
      <c r="AV633" t="inlineStr">
        <is>
          <t>36017094</t>
        </is>
      </c>
      <c r="AW633" t="inlineStr">
        <is>
          <t>991002743729702656</t>
        </is>
      </c>
      <c r="AX633" t="inlineStr">
        <is>
          <t>991002743729702656</t>
        </is>
      </c>
      <c r="AY633" t="inlineStr">
        <is>
          <t>2262391430002656</t>
        </is>
      </c>
      <c r="AZ633" t="inlineStr">
        <is>
          <t>BOOK</t>
        </is>
      </c>
      <c r="BB633" t="inlineStr">
        <is>
          <t>9780664254674</t>
        </is>
      </c>
      <c r="BC633" t="inlineStr">
        <is>
          <t>32285003473443</t>
        </is>
      </c>
      <c r="BD633" t="inlineStr">
        <is>
          <t>893440467</t>
        </is>
      </c>
    </row>
    <row r="634">
      <c r="A634" t="inlineStr">
        <is>
          <t>No</t>
        </is>
      </c>
      <c r="B634" t="inlineStr">
        <is>
          <t>BV4527 .C48 1998</t>
        </is>
      </c>
      <c r="C634" t="inlineStr">
        <is>
          <t>0                      BV 4527000C  48          1998</t>
        </is>
      </c>
      <c r="D634" t="inlineStr">
        <is>
          <t>Heart of flesh : a feminist spirituality for women and men / Joan D. Chittister.</t>
        </is>
      </c>
      <c r="F634" t="inlineStr">
        <is>
          <t>No</t>
        </is>
      </c>
      <c r="G634" t="inlineStr">
        <is>
          <t>1</t>
        </is>
      </c>
      <c r="H634" t="inlineStr">
        <is>
          <t>No</t>
        </is>
      </c>
      <c r="I634" t="inlineStr">
        <is>
          <t>No</t>
        </is>
      </c>
      <c r="J634" t="inlineStr">
        <is>
          <t>0</t>
        </is>
      </c>
      <c r="K634" t="inlineStr">
        <is>
          <t>Chittister, Joan.</t>
        </is>
      </c>
      <c r="L634" t="inlineStr">
        <is>
          <t>Grand Rapids, Mich : William B. Eerdmans Pub. ; Ottawa : Novalis, c1998.</t>
        </is>
      </c>
      <c r="M634" t="inlineStr">
        <is>
          <t>1998</t>
        </is>
      </c>
      <c r="O634" t="inlineStr">
        <is>
          <t>eng</t>
        </is>
      </c>
      <c r="P634" t="inlineStr">
        <is>
          <t>miu</t>
        </is>
      </c>
      <c r="R634" t="inlineStr">
        <is>
          <t xml:space="preserve">BV </t>
        </is>
      </c>
      <c r="S634" t="n">
        <v>4</v>
      </c>
      <c r="T634" t="n">
        <v>4</v>
      </c>
      <c r="U634" t="inlineStr">
        <is>
          <t>2007-05-02</t>
        </is>
      </c>
      <c r="V634" t="inlineStr">
        <is>
          <t>2007-05-02</t>
        </is>
      </c>
      <c r="W634" t="inlineStr">
        <is>
          <t>2006-05-01</t>
        </is>
      </c>
      <c r="X634" t="inlineStr">
        <is>
          <t>2006-05-01</t>
        </is>
      </c>
      <c r="Y634" t="n">
        <v>407</v>
      </c>
      <c r="Z634" t="n">
        <v>326</v>
      </c>
      <c r="AA634" t="n">
        <v>326</v>
      </c>
      <c r="AB634" t="n">
        <v>3</v>
      </c>
      <c r="AC634" t="n">
        <v>3</v>
      </c>
      <c r="AD634" t="n">
        <v>24</v>
      </c>
      <c r="AE634" t="n">
        <v>24</v>
      </c>
      <c r="AF634" t="n">
        <v>11</v>
      </c>
      <c r="AG634" t="n">
        <v>11</v>
      </c>
      <c r="AH634" t="n">
        <v>4</v>
      </c>
      <c r="AI634" t="n">
        <v>4</v>
      </c>
      <c r="AJ634" t="n">
        <v>15</v>
      </c>
      <c r="AK634" t="n">
        <v>15</v>
      </c>
      <c r="AL634" t="n">
        <v>2</v>
      </c>
      <c r="AM634" t="n">
        <v>2</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HYPERLINK("https://creighton-primo.hosted.exlibrisgroup.com/primo-explore/search?tab=default_tab&amp;search_scope=EVERYTHING&amp;vid=01CRU&amp;lang=en_US&amp;offset=0&amp;query=any,contains,991004794079702656","Catalog Record")</f>
        <v/>
      </c>
      <c r="AT634">
        <f>HYPERLINK("http://www.worldcat.org/oclc/37694892","WorldCat Record")</f>
        <v/>
      </c>
      <c r="AU634" t="inlineStr">
        <is>
          <t>611640:eng</t>
        </is>
      </c>
      <c r="AV634" t="inlineStr">
        <is>
          <t>37694892</t>
        </is>
      </c>
      <c r="AW634" t="inlineStr">
        <is>
          <t>991004794079702656</t>
        </is>
      </c>
      <c r="AX634" t="inlineStr">
        <is>
          <t>991004794079702656</t>
        </is>
      </c>
      <c r="AY634" t="inlineStr">
        <is>
          <t>2269499780002656</t>
        </is>
      </c>
      <c r="AZ634" t="inlineStr">
        <is>
          <t>BOOK</t>
        </is>
      </c>
      <c r="BB634" t="inlineStr">
        <is>
          <t>9780802842824</t>
        </is>
      </c>
      <c r="BC634" t="inlineStr">
        <is>
          <t>32285005183511</t>
        </is>
      </c>
      <c r="BD634" t="inlineStr">
        <is>
          <t>893520055</t>
        </is>
      </c>
    </row>
    <row r="635">
      <c r="A635" t="inlineStr">
        <is>
          <t>No</t>
        </is>
      </c>
      <c r="B635" t="inlineStr">
        <is>
          <t>BV4527 .D57 1988</t>
        </is>
      </c>
      <c r="C635" t="inlineStr">
        <is>
          <t>0                      BV 4527000D  57          1988</t>
        </is>
      </c>
      <c r="D635" t="inlineStr">
        <is>
          <t>A Discipleship of equals : towards a Christian feminist spirituality / Francis A. Eigo, editor.</t>
        </is>
      </c>
      <c r="F635" t="inlineStr">
        <is>
          <t>No</t>
        </is>
      </c>
      <c r="G635" t="inlineStr">
        <is>
          <t>1</t>
        </is>
      </c>
      <c r="H635" t="inlineStr">
        <is>
          <t>No</t>
        </is>
      </c>
      <c r="I635" t="inlineStr">
        <is>
          <t>No</t>
        </is>
      </c>
      <c r="J635" t="inlineStr">
        <is>
          <t>0</t>
        </is>
      </c>
      <c r="L635" t="inlineStr">
        <is>
          <t>Villanova, Pa. : Villanova University Press, c1988.</t>
        </is>
      </c>
      <c r="M635" t="inlineStr">
        <is>
          <t>1988</t>
        </is>
      </c>
      <c r="O635" t="inlineStr">
        <is>
          <t>eng</t>
        </is>
      </c>
      <c r="P635" t="inlineStr">
        <is>
          <t>pau</t>
        </is>
      </c>
      <c r="Q635" t="inlineStr">
        <is>
          <t>Proceedings of the Theology Institute of Villanova University ; v. 20</t>
        </is>
      </c>
      <c r="R635" t="inlineStr">
        <is>
          <t xml:space="preserve">BV </t>
        </is>
      </c>
      <c r="S635" t="n">
        <v>7</v>
      </c>
      <c r="T635" t="n">
        <v>7</v>
      </c>
      <c r="U635" t="inlineStr">
        <is>
          <t>1999-07-13</t>
        </is>
      </c>
      <c r="V635" t="inlineStr">
        <is>
          <t>1999-07-13</t>
        </is>
      </c>
      <c r="W635" t="inlineStr">
        <is>
          <t>1992-10-08</t>
        </is>
      </c>
      <c r="X635" t="inlineStr">
        <is>
          <t>1992-10-08</t>
        </is>
      </c>
      <c r="Y635" t="n">
        <v>140</v>
      </c>
      <c r="Z635" t="n">
        <v>134</v>
      </c>
      <c r="AA635" t="n">
        <v>134</v>
      </c>
      <c r="AB635" t="n">
        <v>2</v>
      </c>
      <c r="AC635" t="n">
        <v>2</v>
      </c>
      <c r="AD635" t="n">
        <v>19</v>
      </c>
      <c r="AE635" t="n">
        <v>19</v>
      </c>
      <c r="AF635" t="n">
        <v>6</v>
      </c>
      <c r="AG635" t="n">
        <v>6</v>
      </c>
      <c r="AH635" t="n">
        <v>5</v>
      </c>
      <c r="AI635" t="n">
        <v>5</v>
      </c>
      <c r="AJ635" t="n">
        <v>14</v>
      </c>
      <c r="AK635" t="n">
        <v>14</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HYPERLINK("https://creighton-primo.hosted.exlibrisgroup.com/primo-explore/search?tab=default_tab&amp;search_scope=EVERYTHING&amp;vid=01CRU&amp;lang=en_US&amp;offset=0&amp;query=any,contains,991001207559702656","Catalog Record")</f>
        <v/>
      </c>
      <c r="AT635">
        <f>HYPERLINK("http://www.worldcat.org/oclc/17354352","WorldCat Record")</f>
        <v/>
      </c>
      <c r="AU635" t="inlineStr">
        <is>
          <t>9826906838:eng</t>
        </is>
      </c>
      <c r="AV635" t="inlineStr">
        <is>
          <t>17354352</t>
        </is>
      </c>
      <c r="AW635" t="inlineStr">
        <is>
          <t>991001207559702656</t>
        </is>
      </c>
      <c r="AX635" t="inlineStr">
        <is>
          <t>991001207559702656</t>
        </is>
      </c>
      <c r="AY635" t="inlineStr">
        <is>
          <t>2268040550002656</t>
        </is>
      </c>
      <c r="AZ635" t="inlineStr">
        <is>
          <t>BOOK</t>
        </is>
      </c>
      <c r="BB635" t="inlineStr">
        <is>
          <t>9780877230519</t>
        </is>
      </c>
      <c r="BC635" t="inlineStr">
        <is>
          <t>32285001316586</t>
        </is>
      </c>
      <c r="BD635" t="inlineStr">
        <is>
          <t>893891399</t>
        </is>
      </c>
    </row>
    <row r="636">
      <c r="A636" t="inlineStr">
        <is>
          <t>No</t>
        </is>
      </c>
      <c r="B636" t="inlineStr">
        <is>
          <t>BV4527 .W565 2001</t>
        </is>
      </c>
      <c r="C636" t="inlineStr">
        <is>
          <t>0                      BV 4527000W  565         2001</t>
        </is>
      </c>
      <c r="D636" t="inlineStr">
        <is>
          <t>The wisdom of daughters : two decades of the voice of Christian feminism / edited by Reta Halteman Finger and Kari Sandhaas.</t>
        </is>
      </c>
      <c r="F636" t="inlineStr">
        <is>
          <t>No</t>
        </is>
      </c>
      <c r="G636" t="inlineStr">
        <is>
          <t>1</t>
        </is>
      </c>
      <c r="H636" t="inlineStr">
        <is>
          <t>No</t>
        </is>
      </c>
      <c r="I636" t="inlineStr">
        <is>
          <t>No</t>
        </is>
      </c>
      <c r="J636" t="inlineStr">
        <is>
          <t>0</t>
        </is>
      </c>
      <c r="L636" t="inlineStr">
        <is>
          <t>Philadelphia, PA : Innisfree Press, c2001.</t>
        </is>
      </c>
      <c r="M636" t="inlineStr">
        <is>
          <t>2001</t>
        </is>
      </c>
      <c r="O636" t="inlineStr">
        <is>
          <t>eng</t>
        </is>
      </c>
      <c r="P636" t="inlineStr">
        <is>
          <t>pau</t>
        </is>
      </c>
      <c r="R636" t="inlineStr">
        <is>
          <t xml:space="preserve">BV </t>
        </is>
      </c>
      <c r="S636" t="n">
        <v>2</v>
      </c>
      <c r="T636" t="n">
        <v>2</v>
      </c>
      <c r="U636" t="inlineStr">
        <is>
          <t>2002-07-31</t>
        </is>
      </c>
      <c r="V636" t="inlineStr">
        <is>
          <t>2002-07-31</t>
        </is>
      </c>
      <c r="W636" t="inlineStr">
        <is>
          <t>2002-07-31</t>
        </is>
      </c>
      <c r="X636" t="inlineStr">
        <is>
          <t>2002-07-31</t>
        </is>
      </c>
      <c r="Y636" t="n">
        <v>207</v>
      </c>
      <c r="Z636" t="n">
        <v>179</v>
      </c>
      <c r="AA636" t="n">
        <v>182</v>
      </c>
      <c r="AB636" t="n">
        <v>1</v>
      </c>
      <c r="AC636" t="n">
        <v>1</v>
      </c>
      <c r="AD636" t="n">
        <v>9</v>
      </c>
      <c r="AE636" t="n">
        <v>9</v>
      </c>
      <c r="AF636" t="n">
        <v>5</v>
      </c>
      <c r="AG636" t="n">
        <v>5</v>
      </c>
      <c r="AH636" t="n">
        <v>4</v>
      </c>
      <c r="AI636" t="n">
        <v>4</v>
      </c>
      <c r="AJ636" t="n">
        <v>3</v>
      </c>
      <c r="AK636" t="n">
        <v>3</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HYPERLINK("https://creighton-primo.hosted.exlibrisgroup.com/primo-explore/search?tab=default_tab&amp;search_scope=EVERYTHING&amp;vid=01CRU&amp;lang=en_US&amp;offset=0&amp;query=any,contains,991003840499702656","Catalog Record")</f>
        <v/>
      </c>
      <c r="AT636">
        <f>HYPERLINK("http://www.worldcat.org/oclc/47254227","WorldCat Record")</f>
        <v/>
      </c>
      <c r="AU636" t="inlineStr">
        <is>
          <t>1810837879:eng</t>
        </is>
      </c>
      <c r="AV636" t="inlineStr">
        <is>
          <t>47254227</t>
        </is>
      </c>
      <c r="AW636" t="inlineStr">
        <is>
          <t>991003840499702656</t>
        </is>
      </c>
      <c r="AX636" t="inlineStr">
        <is>
          <t>991003840499702656</t>
        </is>
      </c>
      <c r="AY636" t="inlineStr">
        <is>
          <t>2259831990002656</t>
        </is>
      </c>
      <c r="AZ636" t="inlineStr">
        <is>
          <t>BOOK</t>
        </is>
      </c>
      <c r="BB636" t="inlineStr">
        <is>
          <t>9781880913475</t>
        </is>
      </c>
      <c r="BC636" t="inlineStr">
        <is>
          <t>32285004641519</t>
        </is>
      </c>
      <c r="BD636" t="inlineStr">
        <is>
          <t>893900443</t>
        </is>
      </c>
    </row>
    <row r="637">
      <c r="A637" t="inlineStr">
        <is>
          <t>No</t>
        </is>
      </c>
      <c r="B637" t="inlineStr">
        <is>
          <t>BV4529 .M384 2000</t>
        </is>
      </c>
      <c r="C637" t="inlineStr">
        <is>
          <t>0                      BV 4529000M  384         2000</t>
        </is>
      </c>
      <c r="D637" t="inlineStr">
        <is>
          <t>Raising faith-filled kids : ordinary opportunities to nurture spirituality at home / Tom McGrath.</t>
        </is>
      </c>
      <c r="F637" t="inlineStr">
        <is>
          <t>No</t>
        </is>
      </c>
      <c r="G637" t="inlineStr">
        <is>
          <t>1</t>
        </is>
      </c>
      <c r="H637" t="inlineStr">
        <is>
          <t>No</t>
        </is>
      </c>
      <c r="I637" t="inlineStr">
        <is>
          <t>No</t>
        </is>
      </c>
      <c r="J637" t="inlineStr">
        <is>
          <t>0</t>
        </is>
      </c>
      <c r="K637" t="inlineStr">
        <is>
          <t>McGrath, Tom, 1950-</t>
        </is>
      </c>
      <c r="L637" t="inlineStr">
        <is>
          <t>Chicago, Ill. : Loyola Press, c2000.</t>
        </is>
      </c>
      <c r="M637" t="inlineStr">
        <is>
          <t>2000</t>
        </is>
      </c>
      <c r="O637" t="inlineStr">
        <is>
          <t>eng</t>
        </is>
      </c>
      <c r="P637" t="inlineStr">
        <is>
          <t>ilu</t>
        </is>
      </c>
      <c r="R637" t="inlineStr">
        <is>
          <t xml:space="preserve">BV </t>
        </is>
      </c>
      <c r="S637" t="n">
        <v>1</v>
      </c>
      <c r="T637" t="n">
        <v>1</v>
      </c>
      <c r="U637" t="inlineStr">
        <is>
          <t>2001-08-21</t>
        </is>
      </c>
      <c r="V637" t="inlineStr">
        <is>
          <t>2001-08-21</t>
        </is>
      </c>
      <c r="W637" t="inlineStr">
        <is>
          <t>2001-08-20</t>
        </is>
      </c>
      <c r="X637" t="inlineStr">
        <is>
          <t>2001-08-20</t>
        </is>
      </c>
      <c r="Y637" t="n">
        <v>139</v>
      </c>
      <c r="Z637" t="n">
        <v>126</v>
      </c>
      <c r="AA637" t="n">
        <v>143</v>
      </c>
      <c r="AB637" t="n">
        <v>2</v>
      </c>
      <c r="AC637" t="n">
        <v>2</v>
      </c>
      <c r="AD637" t="n">
        <v>4</v>
      </c>
      <c r="AE637" t="n">
        <v>4</v>
      </c>
      <c r="AF637" t="n">
        <v>1</v>
      </c>
      <c r="AG637" t="n">
        <v>1</v>
      </c>
      <c r="AH637" t="n">
        <v>0</v>
      </c>
      <c r="AI637" t="n">
        <v>0</v>
      </c>
      <c r="AJ637" t="n">
        <v>2</v>
      </c>
      <c r="AK637" t="n">
        <v>2</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HYPERLINK("https://creighton-primo.hosted.exlibrisgroup.com/primo-explore/search?tab=default_tab&amp;search_scope=EVERYTHING&amp;vid=01CRU&amp;lang=en_US&amp;offset=0&amp;query=any,contains,991003577609702656","Catalog Record")</f>
        <v/>
      </c>
      <c r="AT637">
        <f>HYPERLINK("http://www.worldcat.org/oclc/43786274","WorldCat Record")</f>
        <v/>
      </c>
      <c r="AU637" t="inlineStr">
        <is>
          <t>1361976792:eng</t>
        </is>
      </c>
      <c r="AV637" t="inlineStr">
        <is>
          <t>43786274</t>
        </is>
      </c>
      <c r="AW637" t="inlineStr">
        <is>
          <t>991003577609702656</t>
        </is>
      </c>
      <c r="AX637" t="inlineStr">
        <is>
          <t>991003577609702656</t>
        </is>
      </c>
      <c r="AY637" t="inlineStr">
        <is>
          <t>2270637080002656</t>
        </is>
      </c>
      <c r="AZ637" t="inlineStr">
        <is>
          <t>BOOK</t>
        </is>
      </c>
      <c r="BB637" t="inlineStr">
        <is>
          <t>9780829414257</t>
        </is>
      </c>
      <c r="BC637" t="inlineStr">
        <is>
          <t>32285004378112</t>
        </is>
      </c>
      <c r="BD637" t="inlineStr">
        <is>
          <t>893881313</t>
        </is>
      </c>
    </row>
    <row r="638">
      <c r="A638" t="inlineStr">
        <is>
          <t>No</t>
        </is>
      </c>
      <c r="B638" t="inlineStr">
        <is>
          <t>BV4529 .M387 2000</t>
        </is>
      </c>
      <c r="C638" t="inlineStr">
        <is>
          <t>0                      BV 4529000M  387         2000</t>
        </is>
      </c>
      <c r="D638" t="inlineStr">
        <is>
          <t>Growing strong daughters : encouraging girls to become all they're meant to be / Lisa Graham McMinn.</t>
        </is>
      </c>
      <c r="F638" t="inlineStr">
        <is>
          <t>No</t>
        </is>
      </c>
      <c r="G638" t="inlineStr">
        <is>
          <t>1</t>
        </is>
      </c>
      <c r="H638" t="inlineStr">
        <is>
          <t>No</t>
        </is>
      </c>
      <c r="I638" t="inlineStr">
        <is>
          <t>No</t>
        </is>
      </c>
      <c r="J638" t="inlineStr">
        <is>
          <t>0</t>
        </is>
      </c>
      <c r="K638" t="inlineStr">
        <is>
          <t>McMinn, Lisa Graham, 1958-</t>
        </is>
      </c>
      <c r="L638" t="inlineStr">
        <is>
          <t>Grand Rapids, Mich. : Baker Books, c2000.</t>
        </is>
      </c>
      <c r="M638" t="inlineStr">
        <is>
          <t>2000</t>
        </is>
      </c>
      <c r="O638" t="inlineStr">
        <is>
          <t>eng</t>
        </is>
      </c>
      <c r="P638" t="inlineStr">
        <is>
          <t>miu</t>
        </is>
      </c>
      <c r="R638" t="inlineStr">
        <is>
          <t xml:space="preserve">BV </t>
        </is>
      </c>
      <c r="S638" t="n">
        <v>3</v>
      </c>
      <c r="T638" t="n">
        <v>3</v>
      </c>
      <c r="U638" t="inlineStr">
        <is>
          <t>2009-01-16</t>
        </is>
      </c>
      <c r="V638" t="inlineStr">
        <is>
          <t>2009-01-16</t>
        </is>
      </c>
      <c r="W638" t="inlineStr">
        <is>
          <t>2006-05-10</t>
        </is>
      </c>
      <c r="X638" t="inlineStr">
        <is>
          <t>2006-05-10</t>
        </is>
      </c>
      <c r="Y638" t="n">
        <v>243</v>
      </c>
      <c r="Z638" t="n">
        <v>226</v>
      </c>
      <c r="AA638" t="n">
        <v>300</v>
      </c>
      <c r="AB638" t="n">
        <v>3</v>
      </c>
      <c r="AC638" t="n">
        <v>3</v>
      </c>
      <c r="AD638" t="n">
        <v>2</v>
      </c>
      <c r="AE638" t="n">
        <v>6</v>
      </c>
      <c r="AF638" t="n">
        <v>2</v>
      </c>
      <c r="AG638" t="n">
        <v>6</v>
      </c>
      <c r="AH638" t="n">
        <v>0</v>
      </c>
      <c r="AI638" t="n">
        <v>1</v>
      </c>
      <c r="AJ638" t="n">
        <v>0</v>
      </c>
      <c r="AK638" t="n">
        <v>2</v>
      </c>
      <c r="AL638" t="n">
        <v>0</v>
      </c>
      <c r="AM638" t="n">
        <v>0</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HYPERLINK("https://creighton-primo.hosted.exlibrisgroup.com/primo-explore/search?tab=default_tab&amp;search_scope=EVERYTHING&amp;vid=01CRU&amp;lang=en_US&amp;offset=0&amp;query=any,contains,991004794449702656","Catalog Record")</f>
        <v/>
      </c>
      <c r="AT638">
        <f>HYPERLINK("http://www.worldcat.org/oclc/43811242","WorldCat Record")</f>
        <v/>
      </c>
      <c r="AU638" t="inlineStr">
        <is>
          <t>836936157:eng</t>
        </is>
      </c>
      <c r="AV638" t="inlineStr">
        <is>
          <t>43811242</t>
        </is>
      </c>
      <c r="AW638" t="inlineStr">
        <is>
          <t>991004794449702656</t>
        </is>
      </c>
      <c r="AX638" t="inlineStr">
        <is>
          <t>991004794449702656</t>
        </is>
      </c>
      <c r="AY638" t="inlineStr">
        <is>
          <t>2269129840002656</t>
        </is>
      </c>
      <c r="AZ638" t="inlineStr">
        <is>
          <t>BOOK</t>
        </is>
      </c>
      <c r="BB638" t="inlineStr">
        <is>
          <t>9780801063244</t>
        </is>
      </c>
      <c r="BC638" t="inlineStr">
        <is>
          <t>32285005186548</t>
        </is>
      </c>
      <c r="BD638" t="inlineStr">
        <is>
          <t>893241845</t>
        </is>
      </c>
    </row>
    <row r="639">
      <c r="A639" t="inlineStr">
        <is>
          <t>No</t>
        </is>
      </c>
      <c r="B639" t="inlineStr">
        <is>
          <t>BV4531.2 .G37 1996</t>
        </is>
      </c>
      <c r="C639" t="inlineStr">
        <is>
          <t>0                      BV 4531200G  37          1996</t>
        </is>
      </c>
      <c r="D639" t="inlineStr">
        <is>
          <t>The fabric of faithfulness : weaving together belief &amp; behavior during the university years / Steven Garber.</t>
        </is>
      </c>
      <c r="F639" t="inlineStr">
        <is>
          <t>No</t>
        </is>
      </c>
      <c r="G639" t="inlineStr">
        <is>
          <t>1</t>
        </is>
      </c>
      <c r="H639" t="inlineStr">
        <is>
          <t>No</t>
        </is>
      </c>
      <c r="I639" t="inlineStr">
        <is>
          <t>No</t>
        </is>
      </c>
      <c r="J639" t="inlineStr">
        <is>
          <t>0</t>
        </is>
      </c>
      <c r="K639" t="inlineStr">
        <is>
          <t>Garber, Steven.</t>
        </is>
      </c>
      <c r="L639" t="inlineStr">
        <is>
          <t>Downers Grove, Ill. : InterVarsity Press, c1996</t>
        </is>
      </c>
      <c r="M639" t="inlineStr">
        <is>
          <t>1996</t>
        </is>
      </c>
      <c r="O639" t="inlineStr">
        <is>
          <t>eng</t>
        </is>
      </c>
      <c r="P639" t="inlineStr">
        <is>
          <t>ilu</t>
        </is>
      </c>
      <c r="R639" t="inlineStr">
        <is>
          <t xml:space="preserve">BV </t>
        </is>
      </c>
      <c r="S639" t="n">
        <v>1</v>
      </c>
      <c r="T639" t="n">
        <v>1</v>
      </c>
      <c r="U639" t="inlineStr">
        <is>
          <t>2005-04-28</t>
        </is>
      </c>
      <c r="V639" t="inlineStr">
        <is>
          <t>2005-04-28</t>
        </is>
      </c>
      <c r="W639" t="inlineStr">
        <is>
          <t>2005-04-28</t>
        </is>
      </c>
      <c r="X639" t="inlineStr">
        <is>
          <t>2005-04-28</t>
        </is>
      </c>
      <c r="Y639" t="n">
        <v>253</v>
      </c>
      <c r="Z639" t="n">
        <v>225</v>
      </c>
      <c r="AA639" t="n">
        <v>276</v>
      </c>
      <c r="AB639" t="n">
        <v>3</v>
      </c>
      <c r="AC639" t="n">
        <v>3</v>
      </c>
      <c r="AD639" t="n">
        <v>8</v>
      </c>
      <c r="AE639" t="n">
        <v>10</v>
      </c>
      <c r="AF639" t="n">
        <v>4</v>
      </c>
      <c r="AG639" t="n">
        <v>5</v>
      </c>
      <c r="AH639" t="n">
        <v>0</v>
      </c>
      <c r="AI639" t="n">
        <v>1</v>
      </c>
      <c r="AJ639" t="n">
        <v>3</v>
      </c>
      <c r="AK639" t="n">
        <v>4</v>
      </c>
      <c r="AL639" t="n">
        <v>1</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HYPERLINK("https://creighton-primo.hosted.exlibrisgroup.com/primo-explore/search?tab=default_tab&amp;search_scope=EVERYTHING&amp;vid=01CRU&amp;lang=en_US&amp;offset=0&amp;query=any,contains,991004517429702656","Catalog Record")</f>
        <v/>
      </c>
      <c r="AT639">
        <f>HYPERLINK("http://www.worldcat.org/oclc/35292988","WorldCat Record")</f>
        <v/>
      </c>
      <c r="AU639" t="inlineStr">
        <is>
          <t>1083477618:eng</t>
        </is>
      </c>
      <c r="AV639" t="inlineStr">
        <is>
          <t>35292988</t>
        </is>
      </c>
      <c r="AW639" t="inlineStr">
        <is>
          <t>991004517429702656</t>
        </is>
      </c>
      <c r="AX639" t="inlineStr">
        <is>
          <t>991004517429702656</t>
        </is>
      </c>
      <c r="AY639" t="inlineStr">
        <is>
          <t>2271432950002656</t>
        </is>
      </c>
      <c r="AZ639" t="inlineStr">
        <is>
          <t>BOOK</t>
        </is>
      </c>
      <c r="BB639" t="inlineStr">
        <is>
          <t>9780830819942</t>
        </is>
      </c>
      <c r="BC639" t="inlineStr">
        <is>
          <t>32285005034086</t>
        </is>
      </c>
      <c r="BD639" t="inlineStr">
        <is>
          <t>893513334</t>
        </is>
      </c>
    </row>
    <row r="640">
      <c r="A640" t="inlineStr">
        <is>
          <t>No</t>
        </is>
      </c>
      <c r="B640" t="inlineStr">
        <is>
          <t>BV4531.2 .L5813 1973</t>
        </is>
      </c>
      <c r="C640" t="inlineStr">
        <is>
          <t>0                      BV 4531200L  5813        1973</t>
        </is>
      </c>
      <c r="D640" t="inlineStr">
        <is>
          <t>Identity and faith in young adults / by Jacques de Lorimier, Roger Graveline, and Aubert April. Translated by Matthew J. O'Connell.</t>
        </is>
      </c>
      <c r="F640" t="inlineStr">
        <is>
          <t>No</t>
        </is>
      </c>
      <c r="G640" t="inlineStr">
        <is>
          <t>1</t>
        </is>
      </c>
      <c r="H640" t="inlineStr">
        <is>
          <t>No</t>
        </is>
      </c>
      <c r="I640" t="inlineStr">
        <is>
          <t>No</t>
        </is>
      </c>
      <c r="J640" t="inlineStr">
        <is>
          <t>0</t>
        </is>
      </c>
      <c r="K640" t="inlineStr">
        <is>
          <t>Lorimier, Jacques de, 1932-</t>
        </is>
      </c>
      <c r="L640" t="inlineStr">
        <is>
          <t>New York : Paulist Press, [1973]</t>
        </is>
      </c>
      <c r="M640" t="inlineStr">
        <is>
          <t>1973</t>
        </is>
      </c>
      <c r="O640" t="inlineStr">
        <is>
          <t>eng</t>
        </is>
      </c>
      <c r="P640" t="inlineStr">
        <is>
          <t>nyu</t>
        </is>
      </c>
      <c r="R640" t="inlineStr">
        <is>
          <t xml:space="preserve">BV </t>
        </is>
      </c>
      <c r="S640" t="n">
        <v>5</v>
      </c>
      <c r="T640" t="n">
        <v>5</v>
      </c>
      <c r="U640" t="inlineStr">
        <is>
          <t>1995-01-31</t>
        </is>
      </c>
      <c r="V640" t="inlineStr">
        <is>
          <t>1995-01-31</t>
        </is>
      </c>
      <c r="W640" t="inlineStr">
        <is>
          <t>1992-02-28</t>
        </is>
      </c>
      <c r="X640" t="inlineStr">
        <is>
          <t>1992-02-28</t>
        </is>
      </c>
      <c r="Y640" t="n">
        <v>172</v>
      </c>
      <c r="Z640" t="n">
        <v>135</v>
      </c>
      <c r="AA640" t="n">
        <v>136</v>
      </c>
      <c r="AB640" t="n">
        <v>3</v>
      </c>
      <c r="AC640" t="n">
        <v>3</v>
      </c>
      <c r="AD640" t="n">
        <v>21</v>
      </c>
      <c r="AE640" t="n">
        <v>21</v>
      </c>
      <c r="AF640" t="n">
        <v>8</v>
      </c>
      <c r="AG640" t="n">
        <v>8</v>
      </c>
      <c r="AH640" t="n">
        <v>4</v>
      </c>
      <c r="AI640" t="n">
        <v>4</v>
      </c>
      <c r="AJ640" t="n">
        <v>14</v>
      </c>
      <c r="AK640" t="n">
        <v>14</v>
      </c>
      <c r="AL640" t="n">
        <v>2</v>
      </c>
      <c r="AM640" t="n">
        <v>2</v>
      </c>
      <c r="AN640" t="n">
        <v>0</v>
      </c>
      <c r="AO640" t="n">
        <v>0</v>
      </c>
      <c r="AP640" t="inlineStr">
        <is>
          <t>No</t>
        </is>
      </c>
      <c r="AQ640" t="inlineStr">
        <is>
          <t>Yes</t>
        </is>
      </c>
      <c r="AR640">
        <f>HYPERLINK("http://catalog.hathitrust.org/Record/006019414","HathiTrust Record")</f>
        <v/>
      </c>
      <c r="AS640">
        <f>HYPERLINK("https://creighton-primo.hosted.exlibrisgroup.com/primo-explore/search?tab=default_tab&amp;search_scope=EVERYTHING&amp;vid=01CRU&amp;lang=en_US&amp;offset=0&amp;query=any,contains,991003230059702656","Catalog Record")</f>
        <v/>
      </c>
      <c r="AT640">
        <f>HYPERLINK("http://www.worldcat.org/oclc/754646","WorldCat Record")</f>
        <v/>
      </c>
      <c r="AU640" t="inlineStr">
        <is>
          <t>293197726:eng</t>
        </is>
      </c>
      <c r="AV640" t="inlineStr">
        <is>
          <t>754646</t>
        </is>
      </c>
      <c r="AW640" t="inlineStr">
        <is>
          <t>991003230059702656</t>
        </is>
      </c>
      <c r="AX640" t="inlineStr">
        <is>
          <t>991003230059702656</t>
        </is>
      </c>
      <c r="AY640" t="inlineStr">
        <is>
          <t>2267559510002656</t>
        </is>
      </c>
      <c r="AZ640" t="inlineStr">
        <is>
          <t>BOOK</t>
        </is>
      </c>
      <c r="BB640" t="inlineStr">
        <is>
          <t>9780809117666</t>
        </is>
      </c>
      <c r="BC640" t="inlineStr">
        <is>
          <t>32285000967306</t>
        </is>
      </c>
      <c r="BD640" t="inlineStr">
        <is>
          <t>893410058</t>
        </is>
      </c>
    </row>
    <row r="641">
      <c r="A641" t="inlineStr">
        <is>
          <t>No</t>
        </is>
      </c>
      <c r="B641" t="inlineStr">
        <is>
          <t>BV4531.2 .W38 1982</t>
        </is>
      </c>
      <c r="C641" t="inlineStr">
        <is>
          <t>0                      BV 4531200W  38          1982</t>
        </is>
      </c>
      <c r="D641" t="inlineStr">
        <is>
          <t>Youth and the future of the Church : ministry with youth and young adults / by Michael Warren.</t>
        </is>
      </c>
      <c r="F641" t="inlineStr">
        <is>
          <t>No</t>
        </is>
      </c>
      <c r="G641" t="inlineStr">
        <is>
          <t>1</t>
        </is>
      </c>
      <c r="H641" t="inlineStr">
        <is>
          <t>No</t>
        </is>
      </c>
      <c r="I641" t="inlineStr">
        <is>
          <t>No</t>
        </is>
      </c>
      <c r="J641" t="inlineStr">
        <is>
          <t>0</t>
        </is>
      </c>
      <c r="K641" t="inlineStr">
        <is>
          <t>Warren, Michael, 1935-</t>
        </is>
      </c>
      <c r="L641" t="inlineStr">
        <is>
          <t>New York : Seabury Press, 1982.</t>
        </is>
      </c>
      <c r="M641" t="inlineStr">
        <is>
          <t>1982</t>
        </is>
      </c>
      <c r="O641" t="inlineStr">
        <is>
          <t>eng</t>
        </is>
      </c>
      <c r="P641" t="inlineStr">
        <is>
          <t>nyu</t>
        </is>
      </c>
      <c r="R641" t="inlineStr">
        <is>
          <t xml:space="preserve">BV </t>
        </is>
      </c>
      <c r="S641" t="n">
        <v>4</v>
      </c>
      <c r="T641" t="n">
        <v>4</v>
      </c>
      <c r="U641" t="inlineStr">
        <is>
          <t>1996-11-24</t>
        </is>
      </c>
      <c r="V641" t="inlineStr">
        <is>
          <t>1996-11-24</t>
        </is>
      </c>
      <c r="W641" t="inlineStr">
        <is>
          <t>1992-02-28</t>
        </is>
      </c>
      <c r="X641" t="inlineStr">
        <is>
          <t>1992-02-28</t>
        </is>
      </c>
      <c r="Y641" t="n">
        <v>288</v>
      </c>
      <c r="Z641" t="n">
        <v>249</v>
      </c>
      <c r="AA641" t="n">
        <v>260</v>
      </c>
      <c r="AB641" t="n">
        <v>2</v>
      </c>
      <c r="AC641" t="n">
        <v>2</v>
      </c>
      <c r="AD641" t="n">
        <v>22</v>
      </c>
      <c r="AE641" t="n">
        <v>24</v>
      </c>
      <c r="AF641" t="n">
        <v>5</v>
      </c>
      <c r="AG641" t="n">
        <v>7</v>
      </c>
      <c r="AH641" t="n">
        <v>6</v>
      </c>
      <c r="AI641" t="n">
        <v>6</v>
      </c>
      <c r="AJ641" t="n">
        <v>16</v>
      </c>
      <c r="AK641" t="n">
        <v>16</v>
      </c>
      <c r="AL641" t="n">
        <v>1</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HYPERLINK("https://creighton-primo.hosted.exlibrisgroup.com/primo-explore/search?tab=default_tab&amp;search_scope=EVERYTHING&amp;vid=01CRU&amp;lang=en_US&amp;offset=0&amp;query=any,contains,991005172739702656","Catalog Record")</f>
        <v/>
      </c>
      <c r="AT641">
        <f>HYPERLINK("http://www.worldcat.org/oclc/7876390","WorldCat Record")</f>
        <v/>
      </c>
      <c r="AU641" t="inlineStr">
        <is>
          <t>902927907:eng</t>
        </is>
      </c>
      <c r="AV641" t="inlineStr">
        <is>
          <t>7876390</t>
        </is>
      </c>
      <c r="AW641" t="inlineStr">
        <is>
          <t>991005172739702656</t>
        </is>
      </c>
      <c r="AX641" t="inlineStr">
        <is>
          <t>991005172739702656</t>
        </is>
      </c>
      <c r="AY641" t="inlineStr">
        <is>
          <t>2266438190002656</t>
        </is>
      </c>
      <c r="AZ641" t="inlineStr">
        <is>
          <t>BOOK</t>
        </is>
      </c>
      <c r="BB641" t="inlineStr">
        <is>
          <t>9780816405138</t>
        </is>
      </c>
      <c r="BC641" t="inlineStr">
        <is>
          <t>32285000967348</t>
        </is>
      </c>
      <c r="BD641" t="inlineStr">
        <is>
          <t>893877059</t>
        </is>
      </c>
    </row>
    <row r="642">
      <c r="A642" t="inlineStr">
        <is>
          <t>No</t>
        </is>
      </c>
      <c r="B642" t="inlineStr">
        <is>
          <t>BV4531.2 .Z8</t>
        </is>
      </c>
      <c r="C642" t="inlineStr">
        <is>
          <t>0                      BV 4531200Z  8</t>
        </is>
      </c>
      <c r="D642" t="inlineStr">
        <is>
          <t>Christian youth, an in-depth study : profiles of 3,000 teenagers and their morals, values, doubts, religious practices, social characteristics, evaluations of themselves, their families, their churches / by Roy B. Zuck and Gene A. Getz.</t>
        </is>
      </c>
      <c r="F642" t="inlineStr">
        <is>
          <t>No</t>
        </is>
      </c>
      <c r="G642" t="inlineStr">
        <is>
          <t>1</t>
        </is>
      </c>
      <c r="H642" t="inlineStr">
        <is>
          <t>No</t>
        </is>
      </c>
      <c r="I642" t="inlineStr">
        <is>
          <t>No</t>
        </is>
      </c>
      <c r="J642" t="inlineStr">
        <is>
          <t>0</t>
        </is>
      </c>
      <c r="K642" t="inlineStr">
        <is>
          <t>Zuck, Roy B.</t>
        </is>
      </c>
      <c r="L642" t="inlineStr">
        <is>
          <t>Chicago, Moody Press [1968]</t>
        </is>
      </c>
      <c r="M642" t="inlineStr">
        <is>
          <t>1968</t>
        </is>
      </c>
      <c r="O642" t="inlineStr">
        <is>
          <t>eng</t>
        </is>
      </c>
      <c r="P642" t="inlineStr">
        <is>
          <t>ilu</t>
        </is>
      </c>
      <c r="R642" t="inlineStr">
        <is>
          <t xml:space="preserve">BV </t>
        </is>
      </c>
      <c r="S642" t="n">
        <v>1</v>
      </c>
      <c r="T642" t="n">
        <v>1</v>
      </c>
      <c r="U642" t="inlineStr">
        <is>
          <t>1995-10-24</t>
        </is>
      </c>
      <c r="V642" t="inlineStr">
        <is>
          <t>1995-10-24</t>
        </is>
      </c>
      <c r="W642" t="inlineStr">
        <is>
          <t>1992-02-28</t>
        </is>
      </c>
      <c r="X642" t="inlineStr">
        <is>
          <t>1992-02-28</t>
        </is>
      </c>
      <c r="Y642" t="n">
        <v>301</v>
      </c>
      <c r="Z642" t="n">
        <v>280</v>
      </c>
      <c r="AA642" t="n">
        <v>282</v>
      </c>
      <c r="AB642" t="n">
        <v>2</v>
      </c>
      <c r="AC642" t="n">
        <v>2</v>
      </c>
      <c r="AD642" t="n">
        <v>12</v>
      </c>
      <c r="AE642" t="n">
        <v>12</v>
      </c>
      <c r="AF642" t="n">
        <v>6</v>
      </c>
      <c r="AG642" t="n">
        <v>6</v>
      </c>
      <c r="AH642" t="n">
        <v>2</v>
      </c>
      <c r="AI642" t="n">
        <v>2</v>
      </c>
      <c r="AJ642" t="n">
        <v>6</v>
      </c>
      <c r="AK642" t="n">
        <v>6</v>
      </c>
      <c r="AL642" t="n">
        <v>1</v>
      </c>
      <c r="AM642" t="n">
        <v>1</v>
      </c>
      <c r="AN642" t="n">
        <v>0</v>
      </c>
      <c r="AO642" t="n">
        <v>0</v>
      </c>
      <c r="AP642" t="inlineStr">
        <is>
          <t>No</t>
        </is>
      </c>
      <c r="AQ642" t="inlineStr">
        <is>
          <t>Yes</t>
        </is>
      </c>
      <c r="AR642">
        <f>HYPERLINK("http://catalog.hathitrust.org/Record/009814935","HathiTrust Record")</f>
        <v/>
      </c>
      <c r="AS642">
        <f>HYPERLINK("https://creighton-primo.hosted.exlibrisgroup.com/primo-explore/search?tab=default_tab&amp;search_scope=EVERYTHING&amp;vid=01CRU&amp;lang=en_US&amp;offset=0&amp;query=any,contains,991000169469702656","Catalog Record")</f>
        <v/>
      </c>
      <c r="AT642">
        <f>HYPERLINK("http://www.worldcat.org/oclc/61911","WorldCat Record")</f>
        <v/>
      </c>
      <c r="AU642" t="inlineStr">
        <is>
          <t>1223949:eng</t>
        </is>
      </c>
      <c r="AV642" t="inlineStr">
        <is>
          <t>61911</t>
        </is>
      </c>
      <c r="AW642" t="inlineStr">
        <is>
          <t>991000169469702656</t>
        </is>
      </c>
      <c r="AX642" t="inlineStr">
        <is>
          <t>991000169469702656</t>
        </is>
      </c>
      <c r="AY642" t="inlineStr">
        <is>
          <t>2255160570002656</t>
        </is>
      </c>
      <c r="AZ642" t="inlineStr">
        <is>
          <t>BOOK</t>
        </is>
      </c>
      <c r="BC642" t="inlineStr">
        <is>
          <t>32285000967355</t>
        </is>
      </c>
      <c r="BD642" t="inlineStr">
        <is>
          <t>893607717</t>
        </is>
      </c>
    </row>
    <row r="643">
      <c r="A643" t="inlineStr">
        <is>
          <t>No</t>
        </is>
      </c>
      <c r="B643" t="inlineStr">
        <is>
          <t>BV4532 .A913</t>
        </is>
      </c>
      <c r="C643" t="inlineStr">
        <is>
          <t>0                      BV 4532000A  913</t>
        </is>
      </c>
      <c r="D643" t="inlineStr">
        <is>
          <t>Dare to live: Taizé 1974; preparing for the world-wide Council of Youth / foreword by Samuel Wylie.</t>
        </is>
      </c>
      <c r="F643" t="inlineStr">
        <is>
          <t>No</t>
        </is>
      </c>
      <c r="G643" t="inlineStr">
        <is>
          <t>1</t>
        </is>
      </c>
      <c r="H643" t="inlineStr">
        <is>
          <t>No</t>
        </is>
      </c>
      <c r="I643" t="inlineStr">
        <is>
          <t>No</t>
        </is>
      </c>
      <c r="J643" t="inlineStr">
        <is>
          <t>0</t>
        </is>
      </c>
      <c r="L643" t="inlineStr">
        <is>
          <t>New York : Seabury Press, 1973.</t>
        </is>
      </c>
      <c r="M643" t="inlineStr">
        <is>
          <t>1974</t>
        </is>
      </c>
      <c r="O643" t="inlineStr">
        <is>
          <t>eng</t>
        </is>
      </c>
      <c r="P643" t="inlineStr">
        <is>
          <t>nyu</t>
        </is>
      </c>
      <c r="R643" t="inlineStr">
        <is>
          <t xml:space="preserve">BV </t>
        </is>
      </c>
      <c r="S643" t="n">
        <v>2</v>
      </c>
      <c r="T643" t="n">
        <v>2</v>
      </c>
      <c r="U643" t="inlineStr">
        <is>
          <t>1994-09-06</t>
        </is>
      </c>
      <c r="V643" t="inlineStr">
        <is>
          <t>1994-09-06</t>
        </is>
      </c>
      <c r="W643" t="inlineStr">
        <is>
          <t>1990-07-13</t>
        </is>
      </c>
      <c r="X643" t="inlineStr">
        <is>
          <t>1990-07-13</t>
        </is>
      </c>
      <c r="Y643" t="n">
        <v>136</v>
      </c>
      <c r="Z643" t="n">
        <v>127</v>
      </c>
      <c r="AA643" t="n">
        <v>142</v>
      </c>
      <c r="AB643" t="n">
        <v>3</v>
      </c>
      <c r="AC643" t="n">
        <v>3</v>
      </c>
      <c r="AD643" t="n">
        <v>16</v>
      </c>
      <c r="AE643" t="n">
        <v>16</v>
      </c>
      <c r="AF643" t="n">
        <v>5</v>
      </c>
      <c r="AG643" t="n">
        <v>5</v>
      </c>
      <c r="AH643" t="n">
        <v>4</v>
      </c>
      <c r="AI643" t="n">
        <v>4</v>
      </c>
      <c r="AJ643" t="n">
        <v>12</v>
      </c>
      <c r="AK643" t="n">
        <v>12</v>
      </c>
      <c r="AL643" t="n">
        <v>1</v>
      </c>
      <c r="AM643" t="n">
        <v>1</v>
      </c>
      <c r="AN643" t="n">
        <v>0</v>
      </c>
      <c r="AO643" t="n">
        <v>0</v>
      </c>
      <c r="AP643" t="inlineStr">
        <is>
          <t>No</t>
        </is>
      </c>
      <c r="AQ643" t="inlineStr">
        <is>
          <t>Yes</t>
        </is>
      </c>
      <c r="AR643">
        <f>HYPERLINK("http://catalog.hathitrust.org/Record/006019415","HathiTrust Record")</f>
        <v/>
      </c>
      <c r="AS643">
        <f>HYPERLINK("https://creighton-primo.hosted.exlibrisgroup.com/primo-explore/search?tab=default_tab&amp;search_scope=EVERYTHING&amp;vid=01CRU&amp;lang=en_US&amp;offset=0&amp;query=any,contains,991003264449702656","Catalog Record")</f>
        <v/>
      </c>
      <c r="AT643">
        <f>HYPERLINK("http://www.worldcat.org/oclc/790271","WorldCat Record")</f>
        <v/>
      </c>
      <c r="AU643" t="inlineStr">
        <is>
          <t>5092216129:eng</t>
        </is>
      </c>
      <c r="AV643" t="inlineStr">
        <is>
          <t>790271</t>
        </is>
      </c>
      <c r="AW643" t="inlineStr">
        <is>
          <t>991003264449702656</t>
        </is>
      </c>
      <c r="AX643" t="inlineStr">
        <is>
          <t>991003264449702656</t>
        </is>
      </c>
      <c r="AY643" t="inlineStr">
        <is>
          <t>2264059980002656</t>
        </is>
      </c>
      <c r="AZ643" t="inlineStr">
        <is>
          <t>BOOK</t>
        </is>
      </c>
      <c r="BB643" t="inlineStr">
        <is>
          <t>9780816425822</t>
        </is>
      </c>
      <c r="BC643" t="inlineStr">
        <is>
          <t>32285000236835</t>
        </is>
      </c>
      <c r="BD643" t="inlineStr">
        <is>
          <t>893774572</t>
        </is>
      </c>
    </row>
    <row r="644">
      <c r="A644" t="inlineStr">
        <is>
          <t>No</t>
        </is>
      </c>
      <c r="B644" t="inlineStr">
        <is>
          <t>BV4551.2 .D38 2001</t>
        </is>
      </c>
      <c r="C644" t="inlineStr">
        <is>
          <t>0                      BV 4551200D  38          2001</t>
        </is>
      </c>
      <c r="D644" t="inlineStr">
        <is>
          <t>Beyond nice : the spiritual wisdom of adolescent girls / Patricia H. Davis.</t>
        </is>
      </c>
      <c r="F644" t="inlineStr">
        <is>
          <t>No</t>
        </is>
      </c>
      <c r="G644" t="inlineStr">
        <is>
          <t>1</t>
        </is>
      </c>
      <c r="H644" t="inlineStr">
        <is>
          <t>No</t>
        </is>
      </c>
      <c r="I644" t="inlineStr">
        <is>
          <t>No</t>
        </is>
      </c>
      <c r="J644" t="inlineStr">
        <is>
          <t>0</t>
        </is>
      </c>
      <c r="K644" t="inlineStr">
        <is>
          <t>Davis, Patricia H., 1953-</t>
        </is>
      </c>
      <c r="L644" t="inlineStr">
        <is>
          <t>Minneapolis : Fortress Press, c2001</t>
        </is>
      </c>
      <c r="M644" t="inlineStr">
        <is>
          <t>2001</t>
        </is>
      </c>
      <c r="O644" t="inlineStr">
        <is>
          <t>eng</t>
        </is>
      </c>
      <c r="P644" t="inlineStr">
        <is>
          <t>mnu</t>
        </is>
      </c>
      <c r="R644" t="inlineStr">
        <is>
          <t xml:space="preserve">BV </t>
        </is>
      </c>
      <c r="S644" t="n">
        <v>4</v>
      </c>
      <c r="T644" t="n">
        <v>4</v>
      </c>
      <c r="U644" t="inlineStr">
        <is>
          <t>2010-06-22</t>
        </is>
      </c>
      <c r="V644" t="inlineStr">
        <is>
          <t>2010-06-22</t>
        </is>
      </c>
      <c r="W644" t="inlineStr">
        <is>
          <t>2001-02-26</t>
        </is>
      </c>
      <c r="X644" t="inlineStr">
        <is>
          <t>2001-02-26</t>
        </is>
      </c>
      <c r="Y644" t="n">
        <v>162</v>
      </c>
      <c r="Z644" t="n">
        <v>142</v>
      </c>
      <c r="AA644" t="n">
        <v>147</v>
      </c>
      <c r="AB644" t="n">
        <v>2</v>
      </c>
      <c r="AC644" t="n">
        <v>2</v>
      </c>
      <c r="AD644" t="n">
        <v>11</v>
      </c>
      <c r="AE644" t="n">
        <v>11</v>
      </c>
      <c r="AF644" t="n">
        <v>4</v>
      </c>
      <c r="AG644" t="n">
        <v>4</v>
      </c>
      <c r="AH644" t="n">
        <v>2</v>
      </c>
      <c r="AI644" t="n">
        <v>2</v>
      </c>
      <c r="AJ644" t="n">
        <v>5</v>
      </c>
      <c r="AK644" t="n">
        <v>5</v>
      </c>
      <c r="AL644" t="n">
        <v>1</v>
      </c>
      <c r="AM644" t="n">
        <v>1</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HYPERLINK("https://creighton-primo.hosted.exlibrisgroup.com/primo-explore/search?tab=default_tab&amp;search_scope=EVERYTHING&amp;vid=01CRU&amp;lang=en_US&amp;offset=0&amp;query=any,contains,991003495419702656","Catalog Record")</f>
        <v/>
      </c>
      <c r="AT644">
        <f>HYPERLINK("http://www.worldcat.org/oclc/44268122","WorldCat Record")</f>
        <v/>
      </c>
      <c r="AU644" t="inlineStr">
        <is>
          <t>60418:eng</t>
        </is>
      </c>
      <c r="AV644" t="inlineStr">
        <is>
          <t>44268122</t>
        </is>
      </c>
      <c r="AW644" t="inlineStr">
        <is>
          <t>991003495419702656</t>
        </is>
      </c>
      <c r="AX644" t="inlineStr">
        <is>
          <t>991003495419702656</t>
        </is>
      </c>
      <c r="AY644" t="inlineStr">
        <is>
          <t>2264413210002656</t>
        </is>
      </c>
      <c r="AZ644" t="inlineStr">
        <is>
          <t>BOOK</t>
        </is>
      </c>
      <c r="BB644" t="inlineStr">
        <is>
          <t>9780800632564</t>
        </is>
      </c>
      <c r="BC644" t="inlineStr">
        <is>
          <t>32285004297528</t>
        </is>
      </c>
      <c r="BD644" t="inlineStr">
        <is>
          <t>893699045</t>
        </is>
      </c>
    </row>
    <row r="645">
      <c r="A645" t="inlineStr">
        <is>
          <t>No</t>
        </is>
      </c>
      <c r="B645" t="inlineStr">
        <is>
          <t>BV4571.2 .P58</t>
        </is>
      </c>
      <c r="C645" t="inlineStr">
        <is>
          <t>0                      BV 4571200P  58</t>
        </is>
      </c>
      <c r="D645" t="inlineStr">
        <is>
          <t>Concept development and the development of the God concept in the child : a bibliography / V. Peter Pitts ; foreward by John H. Peatling.</t>
        </is>
      </c>
      <c r="F645" t="inlineStr">
        <is>
          <t>No</t>
        </is>
      </c>
      <c r="G645" t="inlineStr">
        <is>
          <t>1</t>
        </is>
      </c>
      <c r="H645" t="inlineStr">
        <is>
          <t>No</t>
        </is>
      </c>
      <c r="I645" t="inlineStr">
        <is>
          <t>No</t>
        </is>
      </c>
      <c r="J645" t="inlineStr">
        <is>
          <t>0</t>
        </is>
      </c>
      <c r="K645" t="inlineStr">
        <is>
          <t>Pitts, V. Peter.</t>
        </is>
      </c>
      <c r="L645" t="inlineStr">
        <is>
          <t>Schenectady, N.Y. : Character Research Press, c1977.</t>
        </is>
      </c>
      <c r="M645" t="inlineStr">
        <is>
          <t>1977</t>
        </is>
      </c>
      <c r="O645" t="inlineStr">
        <is>
          <t>eng</t>
        </is>
      </c>
      <c r="P645" t="inlineStr">
        <is>
          <t>nyu</t>
        </is>
      </c>
      <c r="R645" t="inlineStr">
        <is>
          <t xml:space="preserve">BV </t>
        </is>
      </c>
      <c r="S645" t="n">
        <v>2</v>
      </c>
      <c r="T645" t="n">
        <v>2</v>
      </c>
      <c r="U645" t="inlineStr">
        <is>
          <t>1997-06-24</t>
        </is>
      </c>
      <c r="V645" t="inlineStr">
        <is>
          <t>1997-06-24</t>
        </is>
      </c>
      <c r="W645" t="inlineStr">
        <is>
          <t>1990-03-06</t>
        </is>
      </c>
      <c r="X645" t="inlineStr">
        <is>
          <t>1990-03-06</t>
        </is>
      </c>
      <c r="Y645" t="n">
        <v>105</v>
      </c>
      <c r="Z645" t="n">
        <v>92</v>
      </c>
      <c r="AA645" t="n">
        <v>95</v>
      </c>
      <c r="AB645" t="n">
        <v>2</v>
      </c>
      <c r="AC645" t="n">
        <v>2</v>
      </c>
      <c r="AD645" t="n">
        <v>6</v>
      </c>
      <c r="AE645" t="n">
        <v>6</v>
      </c>
      <c r="AF645" t="n">
        <v>1</v>
      </c>
      <c r="AG645" t="n">
        <v>1</v>
      </c>
      <c r="AH645" t="n">
        <v>1</v>
      </c>
      <c r="AI645" t="n">
        <v>1</v>
      </c>
      <c r="AJ645" t="n">
        <v>4</v>
      </c>
      <c r="AK645" t="n">
        <v>4</v>
      </c>
      <c r="AL645" t="n">
        <v>1</v>
      </c>
      <c r="AM645" t="n">
        <v>1</v>
      </c>
      <c r="AN645" t="n">
        <v>0</v>
      </c>
      <c r="AO645" t="n">
        <v>0</v>
      </c>
      <c r="AP645" t="inlineStr">
        <is>
          <t>No</t>
        </is>
      </c>
      <c r="AQ645" t="inlineStr">
        <is>
          <t>Yes</t>
        </is>
      </c>
      <c r="AR645">
        <f>HYPERLINK("http://catalog.hathitrust.org/Record/007501041","HathiTrust Record")</f>
        <v/>
      </c>
      <c r="AS645">
        <f>HYPERLINK("https://creighton-primo.hosted.exlibrisgroup.com/primo-explore/search?tab=default_tab&amp;search_scope=EVERYTHING&amp;vid=01CRU&amp;lang=en_US&amp;offset=0&amp;query=any,contains,991004384679702656","Catalog Record")</f>
        <v/>
      </c>
      <c r="AT645">
        <f>HYPERLINK("http://www.worldcat.org/oclc/3239882","WorldCat Record")</f>
        <v/>
      </c>
      <c r="AU645" t="inlineStr">
        <is>
          <t>208297300:eng</t>
        </is>
      </c>
      <c r="AV645" t="inlineStr">
        <is>
          <t>3239882</t>
        </is>
      </c>
      <c r="AW645" t="inlineStr">
        <is>
          <t>991004384679702656</t>
        </is>
      </c>
      <c r="AX645" t="inlineStr">
        <is>
          <t>991004384679702656</t>
        </is>
      </c>
      <c r="AY645" t="inlineStr">
        <is>
          <t>2256572310002656</t>
        </is>
      </c>
      <c r="AZ645" t="inlineStr">
        <is>
          <t>BOOK</t>
        </is>
      </c>
      <c r="BB645" t="inlineStr">
        <is>
          <t>9780915744077</t>
        </is>
      </c>
      <c r="BC645" t="inlineStr">
        <is>
          <t>32285000077163</t>
        </is>
      </c>
      <c r="BD645" t="inlineStr">
        <is>
          <t>893605961</t>
        </is>
      </c>
    </row>
    <row r="646">
      <c r="A646" t="inlineStr">
        <is>
          <t>No</t>
        </is>
      </c>
      <c r="B646" t="inlineStr">
        <is>
          <t>BV4579.5 .B72 1985</t>
        </is>
      </c>
      <c r="C646" t="inlineStr">
        <is>
          <t>0                      BV 4579500B  72          1985</t>
        </is>
      </c>
      <c r="D646" t="inlineStr">
        <is>
          <t>Mid-life directions : praying and playing sources of new dynamism / Anne Brennan, Janice Brewi.</t>
        </is>
      </c>
      <c r="F646" t="inlineStr">
        <is>
          <t>No</t>
        </is>
      </c>
      <c r="G646" t="inlineStr">
        <is>
          <t>1</t>
        </is>
      </c>
      <c r="H646" t="inlineStr">
        <is>
          <t>No</t>
        </is>
      </c>
      <c r="I646" t="inlineStr">
        <is>
          <t>No</t>
        </is>
      </c>
      <c r="J646" t="inlineStr">
        <is>
          <t>0</t>
        </is>
      </c>
      <c r="K646" t="inlineStr">
        <is>
          <t>Brennan, Anne.</t>
        </is>
      </c>
      <c r="L646" t="inlineStr">
        <is>
          <t>New York : Paulist Press, c1985.</t>
        </is>
      </c>
      <c r="M646" t="inlineStr">
        <is>
          <t>1985</t>
        </is>
      </c>
      <c r="O646" t="inlineStr">
        <is>
          <t>eng</t>
        </is>
      </c>
      <c r="P646" t="inlineStr">
        <is>
          <t>nyu</t>
        </is>
      </c>
      <c r="R646" t="inlineStr">
        <is>
          <t xml:space="preserve">BV </t>
        </is>
      </c>
      <c r="S646" t="n">
        <v>4</v>
      </c>
      <c r="T646" t="n">
        <v>4</v>
      </c>
      <c r="U646" t="inlineStr">
        <is>
          <t>1997-06-24</t>
        </is>
      </c>
      <c r="V646" t="inlineStr">
        <is>
          <t>1997-06-24</t>
        </is>
      </c>
      <c r="W646" t="inlineStr">
        <is>
          <t>1990-07-30</t>
        </is>
      </c>
      <c r="X646" t="inlineStr">
        <is>
          <t>1990-07-30</t>
        </is>
      </c>
      <c r="Y646" t="n">
        <v>137</v>
      </c>
      <c r="Z646" t="n">
        <v>113</v>
      </c>
      <c r="AA646" t="n">
        <v>118</v>
      </c>
      <c r="AB646" t="n">
        <v>3</v>
      </c>
      <c r="AC646" t="n">
        <v>3</v>
      </c>
      <c r="AD646" t="n">
        <v>11</v>
      </c>
      <c r="AE646" t="n">
        <v>11</v>
      </c>
      <c r="AF646" t="n">
        <v>1</v>
      </c>
      <c r="AG646" t="n">
        <v>1</v>
      </c>
      <c r="AH646" t="n">
        <v>1</v>
      </c>
      <c r="AI646" t="n">
        <v>1</v>
      </c>
      <c r="AJ646" t="n">
        <v>8</v>
      </c>
      <c r="AK646" t="n">
        <v>8</v>
      </c>
      <c r="AL646" t="n">
        <v>1</v>
      </c>
      <c r="AM646" t="n">
        <v>1</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HYPERLINK("https://creighton-primo.hosted.exlibrisgroup.com/primo-explore/search?tab=default_tab&amp;search_scope=EVERYTHING&amp;vid=01CRU&amp;lang=en_US&amp;offset=0&amp;query=any,contains,991000749889702656","Catalog Record")</f>
        <v/>
      </c>
      <c r="AT646">
        <f>HYPERLINK("http://www.worldcat.org/oclc/12661318","WorldCat Record")</f>
        <v/>
      </c>
      <c r="AU646" t="inlineStr">
        <is>
          <t>5353577:eng</t>
        </is>
      </c>
      <c r="AV646" t="inlineStr">
        <is>
          <t>12661318</t>
        </is>
      </c>
      <c r="AW646" t="inlineStr">
        <is>
          <t>991000749889702656</t>
        </is>
      </c>
      <c r="AX646" t="inlineStr">
        <is>
          <t>991000749889702656</t>
        </is>
      </c>
      <c r="AY646" t="inlineStr">
        <is>
          <t>2268507960002656</t>
        </is>
      </c>
      <c r="AZ646" t="inlineStr">
        <is>
          <t>BOOK</t>
        </is>
      </c>
      <c r="BB646" t="inlineStr">
        <is>
          <t>9780809126811</t>
        </is>
      </c>
      <c r="BC646" t="inlineStr">
        <is>
          <t>32285000229012</t>
        </is>
      </c>
      <c r="BD646" t="inlineStr">
        <is>
          <t>893255699</t>
        </is>
      </c>
    </row>
    <row r="647">
      <c r="A647" t="inlineStr">
        <is>
          <t>No</t>
        </is>
      </c>
      <c r="B647" t="inlineStr">
        <is>
          <t>BV4579.5 .B73 1991</t>
        </is>
      </c>
      <c r="C647" t="inlineStr">
        <is>
          <t>0                      BV 4579500B  73          1991</t>
        </is>
      </c>
      <c r="D647" t="inlineStr">
        <is>
          <t>Mid-life : psychological and spiritual perspectives / Janice Brewi and Anne Brennan.</t>
        </is>
      </c>
      <c r="F647" t="inlineStr">
        <is>
          <t>No</t>
        </is>
      </c>
      <c r="G647" t="inlineStr">
        <is>
          <t>1</t>
        </is>
      </c>
      <c r="H647" t="inlineStr">
        <is>
          <t>No</t>
        </is>
      </c>
      <c r="I647" t="inlineStr">
        <is>
          <t>No</t>
        </is>
      </c>
      <c r="J647" t="inlineStr">
        <is>
          <t>0</t>
        </is>
      </c>
      <c r="K647" t="inlineStr">
        <is>
          <t>Brewi, Janice.</t>
        </is>
      </c>
      <c r="L647" t="inlineStr">
        <is>
          <t>New York : Crossroad, 1991, c1982.</t>
        </is>
      </c>
      <c r="M647" t="inlineStr">
        <is>
          <t>1991</t>
        </is>
      </c>
      <c r="N647" t="inlineStr">
        <is>
          <t>[2nd ed.]</t>
        </is>
      </c>
      <c r="O647" t="inlineStr">
        <is>
          <t>eng</t>
        </is>
      </c>
      <c r="P647" t="inlineStr">
        <is>
          <t>nyu</t>
        </is>
      </c>
      <c r="R647" t="inlineStr">
        <is>
          <t xml:space="preserve">BV </t>
        </is>
      </c>
      <c r="S647" t="n">
        <v>7</v>
      </c>
      <c r="T647" t="n">
        <v>7</v>
      </c>
      <c r="U647" t="inlineStr">
        <is>
          <t>2005-09-21</t>
        </is>
      </c>
      <c r="V647" t="inlineStr">
        <is>
          <t>2005-09-21</t>
        </is>
      </c>
      <c r="W647" t="inlineStr">
        <is>
          <t>1992-08-25</t>
        </is>
      </c>
      <c r="X647" t="inlineStr">
        <is>
          <t>1992-08-25</t>
        </is>
      </c>
      <c r="Y647" t="n">
        <v>27</v>
      </c>
      <c r="Z647" t="n">
        <v>26</v>
      </c>
      <c r="AA647" t="n">
        <v>250</v>
      </c>
      <c r="AB647" t="n">
        <v>2</v>
      </c>
      <c r="AC647" t="n">
        <v>3</v>
      </c>
      <c r="AD647" t="n">
        <v>2</v>
      </c>
      <c r="AE647" t="n">
        <v>14</v>
      </c>
      <c r="AF647" t="n">
        <v>1</v>
      </c>
      <c r="AG647" t="n">
        <v>3</v>
      </c>
      <c r="AH647" t="n">
        <v>0</v>
      </c>
      <c r="AI647" t="n">
        <v>1</v>
      </c>
      <c r="AJ647" t="n">
        <v>0</v>
      </c>
      <c r="AK647" t="n">
        <v>10</v>
      </c>
      <c r="AL647" t="n">
        <v>1</v>
      </c>
      <c r="AM647" t="n">
        <v>2</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HYPERLINK("https://creighton-primo.hosted.exlibrisgroup.com/primo-explore/search?tab=default_tab&amp;search_scope=EVERYTHING&amp;vid=01CRU&amp;lang=en_US&amp;offset=0&amp;query=any,contains,991001586329702656","Catalog Record")</f>
        <v/>
      </c>
      <c r="AT647">
        <f>HYPERLINK("http://www.worldcat.org/oclc/20537267","WorldCat Record")</f>
        <v/>
      </c>
      <c r="AU647" t="inlineStr">
        <is>
          <t>22608652:eng</t>
        </is>
      </c>
      <c r="AV647" t="inlineStr">
        <is>
          <t>20537267</t>
        </is>
      </c>
      <c r="AW647" t="inlineStr">
        <is>
          <t>991001586329702656</t>
        </is>
      </c>
      <c r="AX647" t="inlineStr">
        <is>
          <t>991001586329702656</t>
        </is>
      </c>
      <c r="AY647" t="inlineStr">
        <is>
          <t>2270094500002656</t>
        </is>
      </c>
      <c r="AZ647" t="inlineStr">
        <is>
          <t>BOOK</t>
        </is>
      </c>
      <c r="BB647" t="inlineStr">
        <is>
          <t>9780824507015</t>
        </is>
      </c>
      <c r="BC647" t="inlineStr">
        <is>
          <t>32285001198034</t>
        </is>
      </c>
      <c r="BD647" t="inlineStr">
        <is>
          <t>893250313</t>
        </is>
      </c>
    </row>
    <row r="648">
      <c r="A648" t="inlineStr">
        <is>
          <t>No</t>
        </is>
      </c>
      <c r="B648" t="inlineStr">
        <is>
          <t>BV4579.5 .B83 1997</t>
        </is>
      </c>
      <c r="C648" t="inlineStr">
        <is>
          <t>0                      BV 4579500B  83          1997</t>
        </is>
      </c>
      <c r="D648" t="inlineStr">
        <is>
          <t>Game plan : winning strategies for the second half of your life / Bob Buford.</t>
        </is>
      </c>
      <c r="F648" t="inlineStr">
        <is>
          <t>No</t>
        </is>
      </c>
      <c r="G648" t="inlineStr">
        <is>
          <t>1</t>
        </is>
      </c>
      <c r="H648" t="inlineStr">
        <is>
          <t>No</t>
        </is>
      </c>
      <c r="I648" t="inlineStr">
        <is>
          <t>No</t>
        </is>
      </c>
      <c r="J648" t="inlineStr">
        <is>
          <t>0</t>
        </is>
      </c>
      <c r="K648" t="inlineStr">
        <is>
          <t>Buford, Bob.</t>
        </is>
      </c>
      <c r="L648" t="inlineStr">
        <is>
          <t>Grand Rapids, Mich. : Zondervan, c1997.</t>
        </is>
      </c>
      <c r="M648" t="inlineStr">
        <is>
          <t>1997</t>
        </is>
      </c>
      <c r="O648" t="inlineStr">
        <is>
          <t>eng</t>
        </is>
      </c>
      <c r="P648" t="inlineStr">
        <is>
          <t>miu</t>
        </is>
      </c>
      <c r="R648" t="inlineStr">
        <is>
          <t xml:space="preserve">BV </t>
        </is>
      </c>
      <c r="S648" t="n">
        <v>6</v>
      </c>
      <c r="T648" t="n">
        <v>6</v>
      </c>
      <c r="U648" t="inlineStr">
        <is>
          <t>2007-07-02</t>
        </is>
      </c>
      <c r="V648" t="inlineStr">
        <is>
          <t>2007-07-02</t>
        </is>
      </c>
      <c r="W648" t="inlineStr">
        <is>
          <t>1997-10-02</t>
        </is>
      </c>
      <c r="X648" t="inlineStr">
        <is>
          <t>1997-10-02</t>
        </is>
      </c>
      <c r="Y648" t="n">
        <v>86</v>
      </c>
      <c r="Z648" t="n">
        <v>80</v>
      </c>
      <c r="AA648" t="n">
        <v>99</v>
      </c>
      <c r="AB648" t="n">
        <v>2</v>
      </c>
      <c r="AC648" t="n">
        <v>2</v>
      </c>
      <c r="AD648" t="n">
        <v>4</v>
      </c>
      <c r="AE648" t="n">
        <v>4</v>
      </c>
      <c r="AF648" t="n">
        <v>2</v>
      </c>
      <c r="AG648" t="n">
        <v>2</v>
      </c>
      <c r="AH648" t="n">
        <v>0</v>
      </c>
      <c r="AI648" t="n">
        <v>0</v>
      </c>
      <c r="AJ648" t="n">
        <v>1</v>
      </c>
      <c r="AK648" t="n">
        <v>1</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HYPERLINK("https://creighton-primo.hosted.exlibrisgroup.com/primo-explore/search?tab=default_tab&amp;search_scope=EVERYTHING&amp;vid=01CRU&amp;lang=en_US&amp;offset=0&amp;query=any,contains,991002746499702656","Catalog Record")</f>
        <v/>
      </c>
      <c r="AT648">
        <f>HYPERLINK("http://www.worldcat.org/oclc/36042312","WorldCat Record")</f>
        <v/>
      </c>
      <c r="AU648" t="inlineStr">
        <is>
          <t>607991:eng</t>
        </is>
      </c>
      <c r="AV648" t="inlineStr">
        <is>
          <t>36042312</t>
        </is>
      </c>
      <c r="AW648" t="inlineStr">
        <is>
          <t>991002746499702656</t>
        </is>
      </c>
      <c r="AX648" t="inlineStr">
        <is>
          <t>991002746499702656</t>
        </is>
      </c>
      <c r="AY648" t="inlineStr">
        <is>
          <t>2267373330002656</t>
        </is>
      </c>
      <c r="AZ648" t="inlineStr">
        <is>
          <t>BOOK</t>
        </is>
      </c>
      <c r="BB648" t="inlineStr">
        <is>
          <t>9780310212058</t>
        </is>
      </c>
      <c r="BC648" t="inlineStr">
        <is>
          <t>32285003252052</t>
        </is>
      </c>
      <c r="BD648" t="inlineStr">
        <is>
          <t>893421747</t>
        </is>
      </c>
    </row>
    <row r="649">
      <c r="A649" t="inlineStr">
        <is>
          <t>No</t>
        </is>
      </c>
      <c r="B649" t="inlineStr">
        <is>
          <t>BV4579.5 .B84 1994</t>
        </is>
      </c>
      <c r="C649" t="inlineStr">
        <is>
          <t>0                      BV 4579500B  84          1994</t>
        </is>
      </c>
      <c r="D649" t="inlineStr">
        <is>
          <t>Halftime : changing your game plan from success to significance / Bob Buford.</t>
        </is>
      </c>
      <c r="F649" t="inlineStr">
        <is>
          <t>No</t>
        </is>
      </c>
      <c r="G649" t="inlineStr">
        <is>
          <t>1</t>
        </is>
      </c>
      <c r="H649" t="inlineStr">
        <is>
          <t>No</t>
        </is>
      </c>
      <c r="I649" t="inlineStr">
        <is>
          <t>No</t>
        </is>
      </c>
      <c r="J649" t="inlineStr">
        <is>
          <t>0</t>
        </is>
      </c>
      <c r="K649" t="inlineStr">
        <is>
          <t>Buford, Bob.</t>
        </is>
      </c>
      <c r="L649" t="inlineStr">
        <is>
          <t>Grand Rapids, Mich. : Zondervan, c1994.</t>
        </is>
      </c>
      <c r="M649" t="inlineStr">
        <is>
          <t>1994</t>
        </is>
      </c>
      <c r="O649" t="inlineStr">
        <is>
          <t>eng</t>
        </is>
      </c>
      <c r="P649" t="inlineStr">
        <is>
          <t>miu</t>
        </is>
      </c>
      <c r="R649" t="inlineStr">
        <is>
          <t xml:space="preserve">BV </t>
        </is>
      </c>
      <c r="S649" t="n">
        <v>3</v>
      </c>
      <c r="T649" t="n">
        <v>3</v>
      </c>
      <c r="U649" t="inlineStr">
        <is>
          <t>2010-05-12</t>
        </is>
      </c>
      <c r="V649" t="inlineStr">
        <is>
          <t>2010-05-12</t>
        </is>
      </c>
      <c r="W649" t="inlineStr">
        <is>
          <t>1997-10-02</t>
        </is>
      </c>
      <c r="X649" t="inlineStr">
        <is>
          <t>1997-10-02</t>
        </is>
      </c>
      <c r="Y649" t="n">
        <v>197</v>
      </c>
      <c r="Z649" t="n">
        <v>176</v>
      </c>
      <c r="AA649" t="n">
        <v>316</v>
      </c>
      <c r="AB649" t="n">
        <v>4</v>
      </c>
      <c r="AC649" t="n">
        <v>6</v>
      </c>
      <c r="AD649" t="n">
        <v>4</v>
      </c>
      <c r="AE649" t="n">
        <v>8</v>
      </c>
      <c r="AF649" t="n">
        <v>1</v>
      </c>
      <c r="AG649" t="n">
        <v>3</v>
      </c>
      <c r="AH649" t="n">
        <v>0</v>
      </c>
      <c r="AI649" t="n">
        <v>0</v>
      </c>
      <c r="AJ649" t="n">
        <v>0</v>
      </c>
      <c r="AK649" t="n">
        <v>0</v>
      </c>
      <c r="AL649" t="n">
        <v>3</v>
      </c>
      <c r="AM649" t="n">
        <v>5</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HYPERLINK("https://creighton-primo.hosted.exlibrisgroup.com/primo-explore/search?tab=default_tab&amp;search_scope=EVERYTHING&amp;vid=01CRU&amp;lang=en_US&amp;offset=0&amp;query=any,contains,991002422919702656","Catalog Record")</f>
        <v/>
      </c>
      <c r="AT649">
        <f>HYPERLINK("http://www.worldcat.org/oclc/31605050","WorldCat Record")</f>
        <v/>
      </c>
      <c r="AU649" t="inlineStr">
        <is>
          <t>12661443:eng</t>
        </is>
      </c>
      <c r="AV649" t="inlineStr">
        <is>
          <t>31605050</t>
        </is>
      </c>
      <c r="AW649" t="inlineStr">
        <is>
          <t>991002422919702656</t>
        </is>
      </c>
      <c r="AX649" t="inlineStr">
        <is>
          <t>991002422919702656</t>
        </is>
      </c>
      <c r="AY649" t="inlineStr">
        <is>
          <t>2265840710002656</t>
        </is>
      </c>
      <c r="AZ649" t="inlineStr">
        <is>
          <t>BOOK</t>
        </is>
      </c>
      <c r="BB649" t="inlineStr">
        <is>
          <t>9780310215325</t>
        </is>
      </c>
      <c r="BC649" t="inlineStr">
        <is>
          <t>32285003252086</t>
        </is>
      </c>
      <c r="BD649" t="inlineStr">
        <is>
          <t>893523586</t>
        </is>
      </c>
    </row>
    <row r="650">
      <c r="A650" t="inlineStr">
        <is>
          <t>No</t>
        </is>
      </c>
      <c r="B650" t="inlineStr">
        <is>
          <t>BV4579.5 .G84 1995</t>
        </is>
      </c>
      <c r="C650" t="inlineStr">
        <is>
          <t>0                      BV 4579500G  84          1995</t>
        </is>
      </c>
      <c r="D650" t="inlineStr">
        <is>
          <t>Toward holy ground : spiritual directions for the second half of life / Margaret Guenther.</t>
        </is>
      </c>
      <c r="F650" t="inlineStr">
        <is>
          <t>No</t>
        </is>
      </c>
      <c r="G650" t="inlineStr">
        <is>
          <t>1</t>
        </is>
      </c>
      <c r="H650" t="inlineStr">
        <is>
          <t>No</t>
        </is>
      </c>
      <c r="I650" t="inlineStr">
        <is>
          <t>No</t>
        </is>
      </c>
      <c r="J650" t="inlineStr">
        <is>
          <t>0</t>
        </is>
      </c>
      <c r="K650" t="inlineStr">
        <is>
          <t>Guenther, Margaret, 1929-2016.</t>
        </is>
      </c>
      <c r="L650" t="inlineStr">
        <is>
          <t>Cambridge, Mass. : Cowley Publications, c1995.</t>
        </is>
      </c>
      <c r="M650" t="inlineStr">
        <is>
          <t>1995</t>
        </is>
      </c>
      <c r="O650" t="inlineStr">
        <is>
          <t>eng</t>
        </is>
      </c>
      <c r="P650" t="inlineStr">
        <is>
          <t>mau</t>
        </is>
      </c>
      <c r="R650" t="inlineStr">
        <is>
          <t xml:space="preserve">BV </t>
        </is>
      </c>
      <c r="S650" t="n">
        <v>1</v>
      </c>
      <c r="T650" t="n">
        <v>1</v>
      </c>
      <c r="U650" t="inlineStr">
        <is>
          <t>2003-12-11</t>
        </is>
      </c>
      <c r="V650" t="inlineStr">
        <is>
          <t>2003-12-11</t>
        </is>
      </c>
      <c r="W650" t="inlineStr">
        <is>
          <t>2003-12-11</t>
        </is>
      </c>
      <c r="X650" t="inlineStr">
        <is>
          <t>2003-12-11</t>
        </is>
      </c>
      <c r="Y650" t="n">
        <v>128</v>
      </c>
      <c r="Z650" t="n">
        <v>105</v>
      </c>
      <c r="AA650" t="n">
        <v>126</v>
      </c>
      <c r="AB650" t="n">
        <v>1</v>
      </c>
      <c r="AC650" t="n">
        <v>1</v>
      </c>
      <c r="AD650" t="n">
        <v>4</v>
      </c>
      <c r="AE650" t="n">
        <v>5</v>
      </c>
      <c r="AF650" t="n">
        <v>1</v>
      </c>
      <c r="AG650" t="n">
        <v>2</v>
      </c>
      <c r="AH650" t="n">
        <v>1</v>
      </c>
      <c r="AI650" t="n">
        <v>2</v>
      </c>
      <c r="AJ650" t="n">
        <v>2</v>
      </c>
      <c r="AK650" t="n">
        <v>2</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HYPERLINK("https://creighton-primo.hosted.exlibrisgroup.com/primo-explore/search?tab=default_tab&amp;search_scope=EVERYTHING&amp;vid=01CRU&amp;lang=en_US&amp;offset=0&amp;query=any,contains,991004203759702656","Catalog Record")</f>
        <v/>
      </c>
      <c r="AT650">
        <f>HYPERLINK("http://www.worldcat.org/oclc/32508977","WorldCat Record")</f>
        <v/>
      </c>
      <c r="AU650" t="inlineStr">
        <is>
          <t>836987647:eng</t>
        </is>
      </c>
      <c r="AV650" t="inlineStr">
        <is>
          <t>32508977</t>
        </is>
      </c>
      <c r="AW650" t="inlineStr">
        <is>
          <t>991004203759702656</t>
        </is>
      </c>
      <c r="AX650" t="inlineStr">
        <is>
          <t>991004203759702656</t>
        </is>
      </c>
      <c r="AY650" t="inlineStr">
        <is>
          <t>2261722930002656</t>
        </is>
      </c>
      <c r="AZ650" t="inlineStr">
        <is>
          <t>BOOK</t>
        </is>
      </c>
      <c r="BB650" t="inlineStr">
        <is>
          <t>9781561011148</t>
        </is>
      </c>
      <c r="BC650" t="inlineStr">
        <is>
          <t>32285004846506</t>
        </is>
      </c>
      <c r="BD650" t="inlineStr">
        <is>
          <t>893532120</t>
        </is>
      </c>
    </row>
    <row r="651">
      <c r="A651" t="inlineStr">
        <is>
          <t>No</t>
        </is>
      </c>
      <c r="B651" t="inlineStr">
        <is>
          <t>BV4579.5 .H38 1995</t>
        </is>
      </c>
      <c r="C651" t="inlineStr">
        <is>
          <t>0                      BV 4579500H  38          1995</t>
        </is>
      </c>
      <c r="D651" t="inlineStr">
        <is>
          <t>Jubilee time : celebrating women, spirit, and the advent of age / Maria Harris.</t>
        </is>
      </c>
      <c r="F651" t="inlineStr">
        <is>
          <t>No</t>
        </is>
      </c>
      <c r="G651" t="inlineStr">
        <is>
          <t>1</t>
        </is>
      </c>
      <c r="H651" t="inlineStr">
        <is>
          <t>No</t>
        </is>
      </c>
      <c r="I651" t="inlineStr">
        <is>
          <t>No</t>
        </is>
      </c>
      <c r="J651" t="inlineStr">
        <is>
          <t>0</t>
        </is>
      </c>
      <c r="K651" t="inlineStr">
        <is>
          <t>Harris, Maria.</t>
        </is>
      </c>
      <c r="L651" t="inlineStr">
        <is>
          <t>New York : Bantam Books, 1995.</t>
        </is>
      </c>
      <c r="M651" t="inlineStr">
        <is>
          <t>1995</t>
        </is>
      </c>
      <c r="O651" t="inlineStr">
        <is>
          <t>eng</t>
        </is>
      </c>
      <c r="P651" t="inlineStr">
        <is>
          <t>nyu</t>
        </is>
      </c>
      <c r="R651" t="inlineStr">
        <is>
          <t xml:space="preserve">BV </t>
        </is>
      </c>
      <c r="S651" t="n">
        <v>2</v>
      </c>
      <c r="T651" t="n">
        <v>2</v>
      </c>
      <c r="U651" t="inlineStr">
        <is>
          <t>2005-04-02</t>
        </is>
      </c>
      <c r="V651" t="inlineStr">
        <is>
          <t>2005-04-02</t>
        </is>
      </c>
      <c r="W651" t="inlineStr">
        <is>
          <t>1995-12-27</t>
        </is>
      </c>
      <c r="X651" t="inlineStr">
        <is>
          <t>1995-12-27</t>
        </is>
      </c>
      <c r="Y651" t="n">
        <v>289</v>
      </c>
      <c r="Z651" t="n">
        <v>263</v>
      </c>
      <c r="AA651" t="n">
        <v>347</v>
      </c>
      <c r="AB651" t="n">
        <v>2</v>
      </c>
      <c r="AC651" t="n">
        <v>2</v>
      </c>
      <c r="AD651" t="n">
        <v>6</v>
      </c>
      <c r="AE651" t="n">
        <v>11</v>
      </c>
      <c r="AF651" t="n">
        <v>0</v>
      </c>
      <c r="AG651" t="n">
        <v>2</v>
      </c>
      <c r="AH651" t="n">
        <v>1</v>
      </c>
      <c r="AI651" t="n">
        <v>1</v>
      </c>
      <c r="AJ651" t="n">
        <v>5</v>
      </c>
      <c r="AK651" t="n">
        <v>8</v>
      </c>
      <c r="AL651" t="n">
        <v>0</v>
      </c>
      <c r="AM651" t="n">
        <v>0</v>
      </c>
      <c r="AN651" t="n">
        <v>0</v>
      </c>
      <c r="AO651" t="n">
        <v>0</v>
      </c>
      <c r="AP651" t="inlineStr">
        <is>
          <t>No</t>
        </is>
      </c>
      <c r="AQ651" t="inlineStr">
        <is>
          <t>Yes</t>
        </is>
      </c>
      <c r="AR651">
        <f>HYPERLINK("http://catalog.hathitrust.org/Record/009805564","HathiTrust Record")</f>
        <v/>
      </c>
      <c r="AS651">
        <f>HYPERLINK("https://creighton-primo.hosted.exlibrisgroup.com/primo-explore/search?tab=default_tab&amp;search_scope=EVERYTHING&amp;vid=01CRU&amp;lang=en_US&amp;offset=0&amp;query=any,contains,991002426039702656","Catalog Record")</f>
        <v/>
      </c>
      <c r="AT651">
        <f>HYPERLINK("http://www.worldcat.org/oclc/31608005","WorldCat Record")</f>
        <v/>
      </c>
      <c r="AU651" t="inlineStr">
        <is>
          <t>16948891:eng</t>
        </is>
      </c>
      <c r="AV651" t="inlineStr">
        <is>
          <t>31608005</t>
        </is>
      </c>
      <c r="AW651" t="inlineStr">
        <is>
          <t>991002426039702656</t>
        </is>
      </c>
      <c r="AX651" t="inlineStr">
        <is>
          <t>991002426039702656</t>
        </is>
      </c>
      <c r="AY651" t="inlineStr">
        <is>
          <t>2264292330002656</t>
        </is>
      </c>
      <c r="AZ651" t="inlineStr">
        <is>
          <t>BOOK</t>
        </is>
      </c>
      <c r="BB651" t="inlineStr">
        <is>
          <t>9780553099867</t>
        </is>
      </c>
      <c r="BC651" t="inlineStr">
        <is>
          <t>32285002112638</t>
        </is>
      </c>
      <c r="BD651" t="inlineStr">
        <is>
          <t>893616101</t>
        </is>
      </c>
    </row>
    <row r="652">
      <c r="A652" t="inlineStr">
        <is>
          <t>No</t>
        </is>
      </c>
      <c r="B652" t="inlineStr">
        <is>
          <t>BV4579.5 .W53 1997</t>
        </is>
      </c>
      <c r="C652" t="inlineStr">
        <is>
          <t>0                      BV 4579500W  53          1997</t>
        </is>
      </c>
      <c r="D652" t="inlineStr">
        <is>
          <t>After 50 : spiritually embracing your own wisdom years / Robert J. Wicks.</t>
        </is>
      </c>
      <c r="F652" t="inlineStr">
        <is>
          <t>No</t>
        </is>
      </c>
      <c r="G652" t="inlineStr">
        <is>
          <t>1</t>
        </is>
      </c>
      <c r="H652" t="inlineStr">
        <is>
          <t>No</t>
        </is>
      </c>
      <c r="I652" t="inlineStr">
        <is>
          <t>No</t>
        </is>
      </c>
      <c r="J652" t="inlineStr">
        <is>
          <t>0</t>
        </is>
      </c>
      <c r="K652" t="inlineStr">
        <is>
          <t>Wicks, Robert J.</t>
        </is>
      </c>
      <c r="L652" t="inlineStr">
        <is>
          <t>New York : Paulist Press, c1997.</t>
        </is>
      </c>
      <c r="M652" t="inlineStr">
        <is>
          <t>1997</t>
        </is>
      </c>
      <c r="O652" t="inlineStr">
        <is>
          <t>eng</t>
        </is>
      </c>
      <c r="P652" t="inlineStr">
        <is>
          <t>nyu</t>
        </is>
      </c>
      <c r="R652" t="inlineStr">
        <is>
          <t xml:space="preserve">BV </t>
        </is>
      </c>
      <c r="S652" t="n">
        <v>3</v>
      </c>
      <c r="T652" t="n">
        <v>3</v>
      </c>
      <c r="U652" t="inlineStr">
        <is>
          <t>2009-06-22</t>
        </is>
      </c>
      <c r="V652" t="inlineStr">
        <is>
          <t>2009-06-22</t>
        </is>
      </c>
      <c r="W652" t="inlineStr">
        <is>
          <t>1997-03-10</t>
        </is>
      </c>
      <c r="X652" t="inlineStr">
        <is>
          <t>1997-03-10</t>
        </is>
      </c>
      <c r="Y652" t="n">
        <v>190</v>
      </c>
      <c r="Z652" t="n">
        <v>174</v>
      </c>
      <c r="AA652" t="n">
        <v>179</v>
      </c>
      <c r="AB652" t="n">
        <v>3</v>
      </c>
      <c r="AC652" t="n">
        <v>3</v>
      </c>
      <c r="AD652" t="n">
        <v>12</v>
      </c>
      <c r="AE652" t="n">
        <v>12</v>
      </c>
      <c r="AF652" t="n">
        <v>2</v>
      </c>
      <c r="AG652" t="n">
        <v>2</v>
      </c>
      <c r="AH652" t="n">
        <v>5</v>
      </c>
      <c r="AI652" t="n">
        <v>5</v>
      </c>
      <c r="AJ652" t="n">
        <v>6</v>
      </c>
      <c r="AK652" t="n">
        <v>6</v>
      </c>
      <c r="AL652" t="n">
        <v>1</v>
      </c>
      <c r="AM652" t="n">
        <v>1</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HYPERLINK("https://creighton-primo.hosted.exlibrisgroup.com/primo-explore/search?tab=default_tab&amp;search_scope=EVERYTHING&amp;vid=01CRU&amp;lang=en_US&amp;offset=0&amp;query=any,contains,991002729189702656","Catalog Record")</f>
        <v/>
      </c>
      <c r="AT652">
        <f>HYPERLINK("http://www.worldcat.org/oclc/35792289","WorldCat Record")</f>
        <v/>
      </c>
      <c r="AU652" t="inlineStr">
        <is>
          <t>4780244366:eng</t>
        </is>
      </c>
      <c r="AV652" t="inlineStr">
        <is>
          <t>35792289</t>
        </is>
      </c>
      <c r="AW652" t="inlineStr">
        <is>
          <t>991002729189702656</t>
        </is>
      </c>
      <c r="AX652" t="inlineStr">
        <is>
          <t>991002729189702656</t>
        </is>
      </c>
      <c r="AY652" t="inlineStr">
        <is>
          <t>2260903090002656</t>
        </is>
      </c>
      <c r="AZ652" t="inlineStr">
        <is>
          <t>BOOK</t>
        </is>
      </c>
      <c r="BB652" t="inlineStr">
        <is>
          <t>9780809104833</t>
        </is>
      </c>
      <c r="BC652" t="inlineStr">
        <is>
          <t>32285002441169</t>
        </is>
      </c>
      <c r="BD652" t="inlineStr">
        <is>
          <t>893892906</t>
        </is>
      </c>
    </row>
    <row r="653">
      <c r="A653" t="inlineStr">
        <is>
          <t>No</t>
        </is>
      </c>
      <c r="B653" t="inlineStr">
        <is>
          <t>BV4580 .A44 1985</t>
        </is>
      </c>
      <c r="C653" t="inlineStr">
        <is>
          <t>0                      BV 4580000A  44          1985</t>
        </is>
      </c>
      <c r="D653" t="inlineStr">
        <is>
          <t>Affirmative aging : a resource for ministry / edited by the Episcopal Society for Ministry on Aging ; [contributors, T. Herbert O'Driscoll ... et al.].</t>
        </is>
      </c>
      <c r="F653" t="inlineStr">
        <is>
          <t>No</t>
        </is>
      </c>
      <c r="G653" t="inlineStr">
        <is>
          <t>1</t>
        </is>
      </c>
      <c r="H653" t="inlineStr">
        <is>
          <t>No</t>
        </is>
      </c>
      <c r="I653" t="inlineStr">
        <is>
          <t>No</t>
        </is>
      </c>
      <c r="J653" t="inlineStr">
        <is>
          <t>0</t>
        </is>
      </c>
      <c r="L653" t="inlineStr">
        <is>
          <t>Minneapolis, Minn. : Winston Press, c1985.</t>
        </is>
      </c>
      <c r="M653" t="inlineStr">
        <is>
          <t>1985</t>
        </is>
      </c>
      <c r="O653" t="inlineStr">
        <is>
          <t>eng</t>
        </is>
      </c>
      <c r="P653" t="inlineStr">
        <is>
          <t>mnu</t>
        </is>
      </c>
      <c r="R653" t="inlineStr">
        <is>
          <t xml:space="preserve">BV </t>
        </is>
      </c>
      <c r="S653" t="n">
        <v>4</v>
      </c>
      <c r="T653" t="n">
        <v>4</v>
      </c>
      <c r="U653" t="inlineStr">
        <is>
          <t>1995-07-07</t>
        </is>
      </c>
      <c r="V653" t="inlineStr">
        <is>
          <t>1995-07-07</t>
        </is>
      </c>
      <c r="W653" t="inlineStr">
        <is>
          <t>1992-02-28</t>
        </is>
      </c>
      <c r="X653" t="inlineStr">
        <is>
          <t>1992-02-28</t>
        </is>
      </c>
      <c r="Y653" t="n">
        <v>140</v>
      </c>
      <c r="Z653" t="n">
        <v>123</v>
      </c>
      <c r="AA653" t="n">
        <v>163</v>
      </c>
      <c r="AB653" t="n">
        <v>2</v>
      </c>
      <c r="AC653" t="n">
        <v>2</v>
      </c>
      <c r="AD653" t="n">
        <v>7</v>
      </c>
      <c r="AE653" t="n">
        <v>10</v>
      </c>
      <c r="AF653" t="n">
        <v>1</v>
      </c>
      <c r="AG653" t="n">
        <v>3</v>
      </c>
      <c r="AH653" t="n">
        <v>2</v>
      </c>
      <c r="AI653" t="n">
        <v>3</v>
      </c>
      <c r="AJ653" t="n">
        <v>5</v>
      </c>
      <c r="AK653" t="n">
        <v>5</v>
      </c>
      <c r="AL653" t="n">
        <v>1</v>
      </c>
      <c r="AM653" t="n">
        <v>1</v>
      </c>
      <c r="AN653" t="n">
        <v>0</v>
      </c>
      <c r="AO653" t="n">
        <v>0</v>
      </c>
      <c r="AP653" t="inlineStr">
        <is>
          <t>No</t>
        </is>
      </c>
      <c r="AQ653" t="inlineStr">
        <is>
          <t>Yes</t>
        </is>
      </c>
      <c r="AR653">
        <f>HYPERLINK("http://catalog.hathitrust.org/Record/000536319","HathiTrust Record")</f>
        <v/>
      </c>
      <c r="AS653">
        <f>HYPERLINK("https://creighton-primo.hosted.exlibrisgroup.com/primo-explore/search?tab=default_tab&amp;search_scope=EVERYTHING&amp;vid=01CRU&amp;lang=en_US&amp;offset=0&amp;query=any,contains,991000750279702656","Catalog Record")</f>
        <v/>
      </c>
      <c r="AT653">
        <f>HYPERLINK("http://www.worldcat.org/oclc/12909284","WorldCat Record")</f>
        <v/>
      </c>
      <c r="AU653" t="inlineStr">
        <is>
          <t>430055813:eng</t>
        </is>
      </c>
      <c r="AV653" t="inlineStr">
        <is>
          <t>12909284</t>
        </is>
      </c>
      <c r="AW653" t="inlineStr">
        <is>
          <t>991000750279702656</t>
        </is>
      </c>
      <c r="AX653" t="inlineStr">
        <is>
          <t>991000750279702656</t>
        </is>
      </c>
      <c r="AY653" t="inlineStr">
        <is>
          <t>2266540060002656</t>
        </is>
      </c>
      <c r="AZ653" t="inlineStr">
        <is>
          <t>BOOK</t>
        </is>
      </c>
      <c r="BB653" t="inlineStr">
        <is>
          <t>9780866837866</t>
        </is>
      </c>
      <c r="BC653" t="inlineStr">
        <is>
          <t>32285000967397</t>
        </is>
      </c>
      <c r="BD653" t="inlineStr">
        <is>
          <t>893897177</t>
        </is>
      </c>
    </row>
    <row r="654">
      <c r="A654" t="inlineStr">
        <is>
          <t>No</t>
        </is>
      </c>
      <c r="B654" t="inlineStr">
        <is>
          <t>BV4580 .A45 1994</t>
        </is>
      </c>
      <c r="C654" t="inlineStr">
        <is>
          <t>0                      BV 4580000A  45          1994</t>
        </is>
      </c>
      <c r="D654" t="inlineStr">
        <is>
          <t>Aging and God : spiritual pathways to mental health in midlife and later years / Harold G. Koenig.</t>
        </is>
      </c>
      <c r="F654" t="inlineStr">
        <is>
          <t>No</t>
        </is>
      </c>
      <c r="G654" t="inlineStr">
        <is>
          <t>1</t>
        </is>
      </c>
      <c r="H654" t="inlineStr">
        <is>
          <t>No</t>
        </is>
      </c>
      <c r="I654" t="inlineStr">
        <is>
          <t>No</t>
        </is>
      </c>
      <c r="J654" t="inlineStr">
        <is>
          <t>0</t>
        </is>
      </c>
      <c r="K654" t="inlineStr">
        <is>
          <t>Koenig, Harold G. (Harold George), 1951-</t>
        </is>
      </c>
      <c r="L654" t="inlineStr">
        <is>
          <t>New York : Haworth Pastoral Press, c1994.</t>
        </is>
      </c>
      <c r="M654" t="inlineStr">
        <is>
          <t>1994</t>
        </is>
      </c>
      <c r="O654" t="inlineStr">
        <is>
          <t>eng</t>
        </is>
      </c>
      <c r="P654" t="inlineStr">
        <is>
          <t>nyu</t>
        </is>
      </c>
      <c r="R654" t="inlineStr">
        <is>
          <t xml:space="preserve">BV </t>
        </is>
      </c>
      <c r="S654" t="n">
        <v>3</v>
      </c>
      <c r="T654" t="n">
        <v>3</v>
      </c>
      <c r="U654" t="inlineStr">
        <is>
          <t>1998-06-23</t>
        </is>
      </c>
      <c r="V654" t="inlineStr">
        <is>
          <t>1998-06-23</t>
        </is>
      </c>
      <c r="W654" t="inlineStr">
        <is>
          <t>1996-08-08</t>
        </is>
      </c>
      <c r="X654" t="inlineStr">
        <is>
          <t>1996-08-08</t>
        </is>
      </c>
      <c r="Y654" t="n">
        <v>461</v>
      </c>
      <c r="Z654" t="n">
        <v>381</v>
      </c>
      <c r="AA654" t="n">
        <v>405</v>
      </c>
      <c r="AB654" t="n">
        <v>5</v>
      </c>
      <c r="AC654" t="n">
        <v>5</v>
      </c>
      <c r="AD654" t="n">
        <v>22</v>
      </c>
      <c r="AE654" t="n">
        <v>22</v>
      </c>
      <c r="AF654" t="n">
        <v>8</v>
      </c>
      <c r="AG654" t="n">
        <v>8</v>
      </c>
      <c r="AH654" t="n">
        <v>3</v>
      </c>
      <c r="AI654" t="n">
        <v>3</v>
      </c>
      <c r="AJ654" t="n">
        <v>11</v>
      </c>
      <c r="AK654" t="n">
        <v>11</v>
      </c>
      <c r="AL654" t="n">
        <v>4</v>
      </c>
      <c r="AM654" t="n">
        <v>4</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HYPERLINK("https://creighton-primo.hosted.exlibrisgroup.com/primo-explore/search?tab=default_tab&amp;search_scope=EVERYTHING&amp;vid=01CRU&amp;lang=en_US&amp;offset=0&amp;query=any,contains,991002119359702656","Catalog Record")</f>
        <v/>
      </c>
      <c r="AT654">
        <f>HYPERLINK("http://www.worldcat.org/oclc/27171756","WorldCat Record")</f>
        <v/>
      </c>
      <c r="AU654" t="inlineStr">
        <is>
          <t>375607910:eng</t>
        </is>
      </c>
      <c r="AV654" t="inlineStr">
        <is>
          <t>27171756</t>
        </is>
      </c>
      <c r="AW654" t="inlineStr">
        <is>
          <t>991002119359702656</t>
        </is>
      </c>
      <c r="AX654" t="inlineStr">
        <is>
          <t>991002119359702656</t>
        </is>
      </c>
      <c r="AY654" t="inlineStr">
        <is>
          <t>2272580830002656</t>
        </is>
      </c>
      <c r="AZ654" t="inlineStr">
        <is>
          <t>BOOK</t>
        </is>
      </c>
      <c r="BB654" t="inlineStr">
        <is>
          <t>9781560244233</t>
        </is>
      </c>
      <c r="BC654" t="inlineStr">
        <is>
          <t>32285002272028</t>
        </is>
      </c>
      <c r="BD654" t="inlineStr">
        <is>
          <t>893497746</t>
        </is>
      </c>
    </row>
    <row r="655">
      <c r="A655" t="inlineStr">
        <is>
          <t>No</t>
        </is>
      </c>
      <c r="B655" t="inlineStr">
        <is>
          <t>BV4580 .F53 1989</t>
        </is>
      </c>
      <c r="C655" t="inlineStr">
        <is>
          <t>0                      BV 4580000F  53          1989</t>
        </is>
      </c>
      <c r="D655" t="inlineStr">
        <is>
          <t>The treasured age : spirituality for seniors / James F. Finley.</t>
        </is>
      </c>
      <c r="F655" t="inlineStr">
        <is>
          <t>No</t>
        </is>
      </c>
      <c r="G655" t="inlineStr">
        <is>
          <t>1</t>
        </is>
      </c>
      <c r="H655" t="inlineStr">
        <is>
          <t>No</t>
        </is>
      </c>
      <c r="I655" t="inlineStr">
        <is>
          <t>No</t>
        </is>
      </c>
      <c r="J655" t="inlineStr">
        <is>
          <t>0</t>
        </is>
      </c>
      <c r="K655" t="inlineStr">
        <is>
          <t>Finley, James F.</t>
        </is>
      </c>
      <c r="L655" t="inlineStr">
        <is>
          <t>New York : Alba House, c1989.</t>
        </is>
      </c>
      <c r="M655" t="inlineStr">
        <is>
          <t>1989</t>
        </is>
      </c>
      <c r="O655" t="inlineStr">
        <is>
          <t>eng</t>
        </is>
      </c>
      <c r="P655" t="inlineStr">
        <is>
          <t>nyu</t>
        </is>
      </c>
      <c r="R655" t="inlineStr">
        <is>
          <t xml:space="preserve">BV </t>
        </is>
      </c>
      <c r="S655" t="n">
        <v>1</v>
      </c>
      <c r="T655" t="n">
        <v>1</v>
      </c>
      <c r="U655" t="inlineStr">
        <is>
          <t>2003-09-09</t>
        </is>
      </c>
      <c r="V655" t="inlineStr">
        <is>
          <t>2003-09-09</t>
        </is>
      </c>
      <c r="W655" t="inlineStr">
        <is>
          <t>2003-09-09</t>
        </is>
      </c>
      <c r="X655" t="inlineStr">
        <is>
          <t>2003-09-09</t>
        </is>
      </c>
      <c r="Y655" t="n">
        <v>59</v>
      </c>
      <c r="Z655" t="n">
        <v>50</v>
      </c>
      <c r="AA655" t="n">
        <v>50</v>
      </c>
      <c r="AB655" t="n">
        <v>2</v>
      </c>
      <c r="AC655" t="n">
        <v>2</v>
      </c>
      <c r="AD655" t="n">
        <v>4</v>
      </c>
      <c r="AE655" t="n">
        <v>4</v>
      </c>
      <c r="AF655" t="n">
        <v>1</v>
      </c>
      <c r="AG655" t="n">
        <v>1</v>
      </c>
      <c r="AH655" t="n">
        <v>0</v>
      </c>
      <c r="AI655" t="n">
        <v>0</v>
      </c>
      <c r="AJ655" t="n">
        <v>4</v>
      </c>
      <c r="AK655" t="n">
        <v>4</v>
      </c>
      <c r="AL655" t="n">
        <v>0</v>
      </c>
      <c r="AM655" t="n">
        <v>0</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HYPERLINK("https://creighton-primo.hosted.exlibrisgroup.com/primo-explore/search?tab=default_tab&amp;search_scope=EVERYTHING&amp;vid=01CRU&amp;lang=en_US&amp;offset=0&amp;query=any,contains,991004118029702656","Catalog Record")</f>
        <v/>
      </c>
      <c r="AT655">
        <f>HYPERLINK("http://www.worldcat.org/oclc/18982769","WorldCat Record")</f>
        <v/>
      </c>
      <c r="AU655" t="inlineStr">
        <is>
          <t>18995206:eng</t>
        </is>
      </c>
      <c r="AV655" t="inlineStr">
        <is>
          <t>18982769</t>
        </is>
      </c>
      <c r="AW655" t="inlineStr">
        <is>
          <t>991004118029702656</t>
        </is>
      </c>
      <c r="AX655" t="inlineStr">
        <is>
          <t>991004118029702656</t>
        </is>
      </c>
      <c r="AY655" t="inlineStr">
        <is>
          <t>2269161640002656</t>
        </is>
      </c>
      <c r="AZ655" t="inlineStr">
        <is>
          <t>BOOK</t>
        </is>
      </c>
      <c r="BB655" t="inlineStr">
        <is>
          <t>9780818905544</t>
        </is>
      </c>
      <c r="BC655" t="inlineStr">
        <is>
          <t>32285004781653</t>
        </is>
      </c>
      <c r="BD655" t="inlineStr">
        <is>
          <t>893535822</t>
        </is>
      </c>
    </row>
    <row r="656">
      <c r="A656" t="inlineStr">
        <is>
          <t>No</t>
        </is>
      </c>
      <c r="B656" t="inlineStr">
        <is>
          <t>BV4580 .H23 1985</t>
        </is>
      </c>
      <c r="C656" t="inlineStr">
        <is>
          <t>0                      BV 4580000H  23          1985</t>
        </is>
      </c>
      <c r="D656" t="inlineStr">
        <is>
          <t>Winter grace : spirituality for the later years / Kathleen R. Fischer.</t>
        </is>
      </c>
      <c r="F656" t="inlineStr">
        <is>
          <t>No</t>
        </is>
      </c>
      <c r="G656" t="inlineStr">
        <is>
          <t>1</t>
        </is>
      </c>
      <c r="H656" t="inlineStr">
        <is>
          <t>No</t>
        </is>
      </c>
      <c r="I656" t="inlineStr">
        <is>
          <t>No</t>
        </is>
      </c>
      <c r="J656" t="inlineStr">
        <is>
          <t>0</t>
        </is>
      </c>
      <c r="K656" t="inlineStr">
        <is>
          <t>Fischer, Kathleen R., 1940-</t>
        </is>
      </c>
      <c r="L656" t="inlineStr">
        <is>
          <t>New York : Paulist Press, c1985.</t>
        </is>
      </c>
      <c r="M656" t="inlineStr">
        <is>
          <t>1985</t>
        </is>
      </c>
      <c r="O656" t="inlineStr">
        <is>
          <t>eng</t>
        </is>
      </c>
      <c r="P656" t="inlineStr">
        <is>
          <t>nyu</t>
        </is>
      </c>
      <c r="R656" t="inlineStr">
        <is>
          <t xml:space="preserve">BV </t>
        </is>
      </c>
      <c r="S656" t="n">
        <v>4</v>
      </c>
      <c r="T656" t="n">
        <v>4</v>
      </c>
      <c r="U656" t="inlineStr">
        <is>
          <t>1995-07-07</t>
        </is>
      </c>
      <c r="V656" t="inlineStr">
        <is>
          <t>1995-07-07</t>
        </is>
      </c>
      <c r="W656" t="inlineStr">
        <is>
          <t>1990-08-08</t>
        </is>
      </c>
      <c r="X656" t="inlineStr">
        <is>
          <t>1990-08-08</t>
        </is>
      </c>
      <c r="Y656" t="n">
        <v>190</v>
      </c>
      <c r="Z656" t="n">
        <v>166</v>
      </c>
      <c r="AA656" t="n">
        <v>172</v>
      </c>
      <c r="AB656" t="n">
        <v>4</v>
      </c>
      <c r="AC656" t="n">
        <v>4</v>
      </c>
      <c r="AD656" t="n">
        <v>16</v>
      </c>
      <c r="AE656" t="n">
        <v>16</v>
      </c>
      <c r="AF656" t="n">
        <v>4</v>
      </c>
      <c r="AG656" t="n">
        <v>4</v>
      </c>
      <c r="AH656" t="n">
        <v>2</v>
      </c>
      <c r="AI656" t="n">
        <v>2</v>
      </c>
      <c r="AJ656" t="n">
        <v>12</v>
      </c>
      <c r="AK656" t="n">
        <v>12</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HYPERLINK("https://creighton-primo.hosted.exlibrisgroup.com/primo-explore/search?tab=default_tab&amp;search_scope=EVERYTHING&amp;vid=01CRU&amp;lang=en_US&amp;offset=0&amp;query=any,contains,991000665499702656","Catalog Record")</f>
        <v/>
      </c>
      <c r="AT656">
        <f>HYPERLINK("http://www.worldcat.org/oclc/12270386","WorldCat Record")</f>
        <v/>
      </c>
      <c r="AU656" t="inlineStr">
        <is>
          <t>235147276:eng</t>
        </is>
      </c>
      <c r="AV656" t="inlineStr">
        <is>
          <t>12270386</t>
        </is>
      </c>
      <c r="AW656" t="inlineStr">
        <is>
          <t>991000665499702656</t>
        </is>
      </c>
      <c r="AX656" t="inlineStr">
        <is>
          <t>991000665499702656</t>
        </is>
      </c>
      <c r="AY656" t="inlineStr">
        <is>
          <t>2256746600002656</t>
        </is>
      </c>
      <c r="AZ656" t="inlineStr">
        <is>
          <t>BOOK</t>
        </is>
      </c>
      <c r="BB656" t="inlineStr">
        <is>
          <t>9780809126750</t>
        </is>
      </c>
      <c r="BC656" t="inlineStr">
        <is>
          <t>32285000269943</t>
        </is>
      </c>
      <c r="BD656" t="inlineStr">
        <is>
          <t>893620684</t>
        </is>
      </c>
    </row>
    <row r="657">
      <c r="A657" t="inlineStr">
        <is>
          <t>No</t>
        </is>
      </c>
      <c r="B657" t="inlineStr">
        <is>
          <t>BV4580 .M36 1986</t>
        </is>
      </c>
      <c r="C657" t="inlineStr">
        <is>
          <t>0                      BV 4580000M  36          1986</t>
        </is>
      </c>
      <c r="D657" t="inlineStr">
        <is>
          <t>Faith for the older years : making the most of life's second half / Paul B. Maves.</t>
        </is>
      </c>
      <c r="F657" t="inlineStr">
        <is>
          <t>No</t>
        </is>
      </c>
      <c r="G657" t="inlineStr">
        <is>
          <t>1</t>
        </is>
      </c>
      <c r="H657" t="inlineStr">
        <is>
          <t>No</t>
        </is>
      </c>
      <c r="I657" t="inlineStr">
        <is>
          <t>No</t>
        </is>
      </c>
      <c r="J657" t="inlineStr">
        <is>
          <t>0</t>
        </is>
      </c>
      <c r="K657" t="inlineStr">
        <is>
          <t>Maves, Paul B.</t>
        </is>
      </c>
      <c r="L657" t="inlineStr">
        <is>
          <t>Minneapolis : Augsburg Pub. House, c1986.</t>
        </is>
      </c>
      <c r="M657" t="inlineStr">
        <is>
          <t>1986</t>
        </is>
      </c>
      <c r="O657" t="inlineStr">
        <is>
          <t>eng</t>
        </is>
      </c>
      <c r="P657" t="inlineStr">
        <is>
          <t>mnu</t>
        </is>
      </c>
      <c r="R657" t="inlineStr">
        <is>
          <t xml:space="preserve">BV </t>
        </is>
      </c>
      <c r="S657" t="n">
        <v>3</v>
      </c>
      <c r="T657" t="n">
        <v>3</v>
      </c>
      <c r="U657" t="inlineStr">
        <is>
          <t>2001-06-26</t>
        </is>
      </c>
      <c r="V657" t="inlineStr">
        <is>
          <t>2001-06-26</t>
        </is>
      </c>
      <c r="W657" t="inlineStr">
        <is>
          <t>1990-04-25</t>
        </is>
      </c>
      <c r="X657" t="inlineStr">
        <is>
          <t>1990-04-25</t>
        </is>
      </c>
      <c r="Y657" t="n">
        <v>146</v>
      </c>
      <c r="Z657" t="n">
        <v>129</v>
      </c>
      <c r="AA657" t="n">
        <v>129</v>
      </c>
      <c r="AB657" t="n">
        <v>2</v>
      </c>
      <c r="AC657" t="n">
        <v>2</v>
      </c>
      <c r="AD657" t="n">
        <v>7</v>
      </c>
      <c r="AE657" t="n">
        <v>7</v>
      </c>
      <c r="AF657" t="n">
        <v>3</v>
      </c>
      <c r="AG657" t="n">
        <v>3</v>
      </c>
      <c r="AH657" t="n">
        <v>0</v>
      </c>
      <c r="AI657" t="n">
        <v>0</v>
      </c>
      <c r="AJ657" t="n">
        <v>3</v>
      </c>
      <c r="AK657" t="n">
        <v>3</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HYPERLINK("https://creighton-primo.hosted.exlibrisgroup.com/primo-explore/search?tab=default_tab&amp;search_scope=EVERYTHING&amp;vid=01CRU&amp;lang=en_US&amp;offset=0&amp;query=any,contains,991000780939702656","Catalog Record")</f>
        <v/>
      </c>
      <c r="AT657">
        <f>HYPERLINK("http://www.worldcat.org/oclc/13095923","WorldCat Record")</f>
        <v/>
      </c>
      <c r="AU657" t="inlineStr">
        <is>
          <t>5860760:eng</t>
        </is>
      </c>
      <c r="AV657" t="inlineStr">
        <is>
          <t>13095923</t>
        </is>
      </c>
      <c r="AW657" t="inlineStr">
        <is>
          <t>991000780939702656</t>
        </is>
      </c>
      <c r="AX657" t="inlineStr">
        <is>
          <t>991000780939702656</t>
        </is>
      </c>
      <c r="AY657" t="inlineStr">
        <is>
          <t>2256144860002656</t>
        </is>
      </c>
      <c r="AZ657" t="inlineStr">
        <is>
          <t>BOOK</t>
        </is>
      </c>
      <c r="BB657" t="inlineStr">
        <is>
          <t>9780806621951</t>
        </is>
      </c>
      <c r="BC657" t="inlineStr">
        <is>
          <t>32285004385133</t>
        </is>
      </c>
      <c r="BD657" t="inlineStr">
        <is>
          <t>893339885</t>
        </is>
      </c>
    </row>
    <row r="658">
      <c r="A658" t="inlineStr">
        <is>
          <t>No</t>
        </is>
      </c>
      <c r="B658" t="inlineStr">
        <is>
          <t>BV4580 .N37 1977</t>
        </is>
      </c>
      <c r="C658" t="inlineStr">
        <is>
          <t>0                      BV 4580000N  37          1977</t>
        </is>
      </c>
      <c r="D658" t="inlineStr">
        <is>
          <t>Spiritual well-being of the elderly / edited by James A. Thorson and Thomas C. Cook, Jr.</t>
        </is>
      </c>
      <c r="F658" t="inlineStr">
        <is>
          <t>No</t>
        </is>
      </c>
      <c r="G658" t="inlineStr">
        <is>
          <t>1</t>
        </is>
      </c>
      <c r="H658" t="inlineStr">
        <is>
          <t>No</t>
        </is>
      </c>
      <c r="I658" t="inlineStr">
        <is>
          <t>No</t>
        </is>
      </c>
      <c r="J658" t="inlineStr">
        <is>
          <t>0</t>
        </is>
      </c>
      <c r="K658" t="inlineStr">
        <is>
          <t>National Intra-decade Conference on Spiritual Well-being of the Elderly (1977 : Atlanta, Ga.)</t>
        </is>
      </c>
      <c r="L658" t="inlineStr">
        <is>
          <t>Springfield, Ill. : Thomas, c1980.</t>
        </is>
      </c>
      <c r="M658" t="inlineStr">
        <is>
          <t>1980</t>
        </is>
      </c>
      <c r="O658" t="inlineStr">
        <is>
          <t>eng</t>
        </is>
      </c>
      <c r="P658" t="inlineStr">
        <is>
          <t>ilu</t>
        </is>
      </c>
      <c r="R658" t="inlineStr">
        <is>
          <t xml:space="preserve">BV </t>
        </is>
      </c>
      <c r="S658" t="n">
        <v>1</v>
      </c>
      <c r="T658" t="n">
        <v>1</v>
      </c>
      <c r="U658" t="inlineStr">
        <is>
          <t>1994-07-31</t>
        </is>
      </c>
      <c r="V658" t="inlineStr">
        <is>
          <t>1994-07-31</t>
        </is>
      </c>
      <c r="W658" t="inlineStr">
        <is>
          <t>1992-03-20</t>
        </is>
      </c>
      <c r="X658" t="inlineStr">
        <is>
          <t>1992-03-20</t>
        </is>
      </c>
      <c r="Y658" t="n">
        <v>270</v>
      </c>
      <c r="Z658" t="n">
        <v>243</v>
      </c>
      <c r="AA658" t="n">
        <v>245</v>
      </c>
      <c r="AB658" t="n">
        <v>4</v>
      </c>
      <c r="AC658" t="n">
        <v>4</v>
      </c>
      <c r="AD658" t="n">
        <v>11</v>
      </c>
      <c r="AE658" t="n">
        <v>11</v>
      </c>
      <c r="AF658" t="n">
        <v>5</v>
      </c>
      <c r="AG658" t="n">
        <v>5</v>
      </c>
      <c r="AH658" t="n">
        <v>1</v>
      </c>
      <c r="AI658" t="n">
        <v>1</v>
      </c>
      <c r="AJ658" t="n">
        <v>4</v>
      </c>
      <c r="AK658" t="n">
        <v>4</v>
      </c>
      <c r="AL658" t="n">
        <v>3</v>
      </c>
      <c r="AM658" t="n">
        <v>3</v>
      </c>
      <c r="AN658" t="n">
        <v>0</v>
      </c>
      <c r="AO658" t="n">
        <v>0</v>
      </c>
      <c r="AP658" t="inlineStr">
        <is>
          <t>No</t>
        </is>
      </c>
      <c r="AQ658" t="inlineStr">
        <is>
          <t>Yes</t>
        </is>
      </c>
      <c r="AR658">
        <f>HYPERLINK("http://catalog.hathitrust.org/Record/000766275","HathiTrust Record")</f>
        <v/>
      </c>
      <c r="AS658">
        <f>HYPERLINK("https://creighton-primo.hosted.exlibrisgroup.com/primo-explore/search?tab=default_tab&amp;search_scope=EVERYTHING&amp;vid=01CRU&amp;lang=en_US&amp;offset=0&amp;query=any,contains,991004830969702656","Catalog Record")</f>
        <v/>
      </c>
      <c r="AT658">
        <f>HYPERLINK("http://www.worldcat.org/oclc/5410537","WorldCat Record")</f>
        <v/>
      </c>
      <c r="AU658" t="inlineStr">
        <is>
          <t>472134:eng</t>
        </is>
      </c>
      <c r="AV658" t="inlineStr">
        <is>
          <t>5410537</t>
        </is>
      </c>
      <c r="AW658" t="inlineStr">
        <is>
          <t>991004830969702656</t>
        </is>
      </c>
      <c r="AX658" t="inlineStr">
        <is>
          <t>991004830969702656</t>
        </is>
      </c>
      <c r="AY658" t="inlineStr">
        <is>
          <t>2260593670002656</t>
        </is>
      </c>
      <c r="AZ658" t="inlineStr">
        <is>
          <t>BOOK</t>
        </is>
      </c>
      <c r="BB658" t="inlineStr">
        <is>
          <t>9780398039981</t>
        </is>
      </c>
      <c r="BC658" t="inlineStr">
        <is>
          <t>32285001025138</t>
        </is>
      </c>
      <c r="BD658" t="inlineStr">
        <is>
          <t>893713071</t>
        </is>
      </c>
    </row>
    <row r="659">
      <c r="A659" t="inlineStr">
        <is>
          <t>No</t>
        </is>
      </c>
      <c r="B659" t="inlineStr">
        <is>
          <t>BV4581 .V37 2005</t>
        </is>
      </c>
      <c r="C659" t="inlineStr">
        <is>
          <t>0                      BV 4581000V  37          2005</t>
        </is>
      </c>
      <c r="D659" t="inlineStr">
        <is>
          <t>Summoned at every age : finding God in our later years / Peter van Breemen.</t>
        </is>
      </c>
      <c r="F659" t="inlineStr">
        <is>
          <t>No</t>
        </is>
      </c>
      <c r="G659" t="inlineStr">
        <is>
          <t>1</t>
        </is>
      </c>
      <c r="H659" t="inlineStr">
        <is>
          <t>No</t>
        </is>
      </c>
      <c r="I659" t="inlineStr">
        <is>
          <t>No</t>
        </is>
      </c>
      <c r="J659" t="inlineStr">
        <is>
          <t>0</t>
        </is>
      </c>
      <c r="K659" t="inlineStr">
        <is>
          <t>Van Breemen, Peter G., 1927-</t>
        </is>
      </c>
      <c r="L659" t="inlineStr">
        <is>
          <t>Notre Dame, Ind. : Ave Maria Press, c2005.</t>
        </is>
      </c>
      <c r="M659" t="inlineStr">
        <is>
          <t>2005</t>
        </is>
      </c>
      <c r="O659" t="inlineStr">
        <is>
          <t>eng</t>
        </is>
      </c>
      <c r="P659" t="inlineStr">
        <is>
          <t>inu</t>
        </is>
      </c>
      <c r="Q659" t="inlineStr">
        <is>
          <t>Ignatian impulse series</t>
        </is>
      </c>
      <c r="R659" t="inlineStr">
        <is>
          <t xml:space="preserve">BV </t>
        </is>
      </c>
      <c r="S659" t="n">
        <v>1</v>
      </c>
      <c r="T659" t="n">
        <v>1</v>
      </c>
      <c r="U659" t="inlineStr">
        <is>
          <t>2008-06-04</t>
        </is>
      </c>
      <c r="V659" t="inlineStr">
        <is>
          <t>2008-06-04</t>
        </is>
      </c>
      <c r="W659" t="inlineStr">
        <is>
          <t>2008-06-04</t>
        </is>
      </c>
      <c r="X659" t="inlineStr">
        <is>
          <t>2008-06-04</t>
        </is>
      </c>
      <c r="Y659" t="n">
        <v>43</v>
      </c>
      <c r="Z659" t="n">
        <v>30</v>
      </c>
      <c r="AA659" t="n">
        <v>30</v>
      </c>
      <c r="AB659" t="n">
        <v>1</v>
      </c>
      <c r="AC659" t="n">
        <v>1</v>
      </c>
      <c r="AD659" t="n">
        <v>6</v>
      </c>
      <c r="AE659" t="n">
        <v>6</v>
      </c>
      <c r="AF659" t="n">
        <v>1</v>
      </c>
      <c r="AG659" t="n">
        <v>1</v>
      </c>
      <c r="AH659" t="n">
        <v>2</v>
      </c>
      <c r="AI659" t="n">
        <v>2</v>
      </c>
      <c r="AJ659" t="n">
        <v>5</v>
      </c>
      <c r="AK659" t="n">
        <v>5</v>
      </c>
      <c r="AL659" t="n">
        <v>0</v>
      </c>
      <c r="AM659" t="n">
        <v>0</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HYPERLINK("https://creighton-primo.hosted.exlibrisgroup.com/primo-explore/search?tab=default_tab&amp;search_scope=EVERYTHING&amp;vid=01CRU&amp;lang=en_US&amp;offset=0&amp;query=any,contains,991005224529702656","Catalog Record")</f>
        <v/>
      </c>
      <c r="AT659">
        <f>HYPERLINK("http://www.worldcat.org/oclc/59712345","WorldCat Record")</f>
        <v/>
      </c>
      <c r="AU659" t="inlineStr">
        <is>
          <t>4159983933:eng</t>
        </is>
      </c>
      <c r="AV659" t="inlineStr">
        <is>
          <t>59712345</t>
        </is>
      </c>
      <c r="AW659" t="inlineStr">
        <is>
          <t>991005224529702656</t>
        </is>
      </c>
      <c r="AX659" t="inlineStr">
        <is>
          <t>991005224529702656</t>
        </is>
      </c>
      <c r="AY659" t="inlineStr">
        <is>
          <t>2265768990002656</t>
        </is>
      </c>
      <c r="AZ659" t="inlineStr">
        <is>
          <t>BOOK</t>
        </is>
      </c>
      <c r="BB659" t="inlineStr">
        <is>
          <t>9781594710360</t>
        </is>
      </c>
      <c r="BC659" t="inlineStr">
        <is>
          <t>32285005442305</t>
        </is>
      </c>
      <c r="BD659" t="inlineStr">
        <is>
          <t>893810935</t>
        </is>
      </c>
    </row>
    <row r="660">
      <c r="A660" t="inlineStr">
        <is>
          <t>No</t>
        </is>
      </c>
      <c r="B660" t="inlineStr">
        <is>
          <t>BV4588 .M27 1986</t>
        </is>
      </c>
      <c r="C660" t="inlineStr">
        <is>
          <t>0                      BV 4588000M  27          1986</t>
        </is>
      </c>
      <c r="D660" t="inlineStr">
        <is>
          <t>Out of the night : the spiritual journey of Vietnam vets / William P. Mahedy.</t>
        </is>
      </c>
      <c r="F660" t="inlineStr">
        <is>
          <t>No</t>
        </is>
      </c>
      <c r="G660" t="inlineStr">
        <is>
          <t>1</t>
        </is>
      </c>
      <c r="H660" t="inlineStr">
        <is>
          <t>No</t>
        </is>
      </c>
      <c r="I660" t="inlineStr">
        <is>
          <t>No</t>
        </is>
      </c>
      <c r="J660" t="inlineStr">
        <is>
          <t>0</t>
        </is>
      </c>
      <c r="K660" t="inlineStr">
        <is>
          <t>Mahedy, William P., 1936-</t>
        </is>
      </c>
      <c r="L660" t="inlineStr">
        <is>
          <t>Knoxville, TN : Radix Press, c2004.</t>
        </is>
      </c>
      <c r="M660" t="inlineStr">
        <is>
          <t>2004</t>
        </is>
      </c>
      <c r="O660" t="inlineStr">
        <is>
          <t>eng</t>
        </is>
      </c>
      <c r="P660" t="inlineStr">
        <is>
          <t>tnu</t>
        </is>
      </c>
      <c r="R660" t="inlineStr">
        <is>
          <t xml:space="preserve">BV </t>
        </is>
      </c>
      <c r="S660" t="n">
        <v>1</v>
      </c>
      <c r="T660" t="n">
        <v>1</v>
      </c>
      <c r="U660" t="inlineStr">
        <is>
          <t>2010-04-13</t>
        </is>
      </c>
      <c r="V660" t="inlineStr">
        <is>
          <t>2010-04-13</t>
        </is>
      </c>
      <c r="W660" t="inlineStr">
        <is>
          <t>2010-04-13</t>
        </is>
      </c>
      <c r="X660" t="inlineStr">
        <is>
          <t>2010-04-13</t>
        </is>
      </c>
      <c r="Y660" t="n">
        <v>9</v>
      </c>
      <c r="Z660" t="n">
        <v>8</v>
      </c>
      <c r="AA660" t="n">
        <v>284</v>
      </c>
      <c r="AB660" t="n">
        <v>1</v>
      </c>
      <c r="AC660" t="n">
        <v>2</v>
      </c>
      <c r="AD660" t="n">
        <v>0</v>
      </c>
      <c r="AE660" t="n">
        <v>11</v>
      </c>
      <c r="AF660" t="n">
        <v>0</v>
      </c>
      <c r="AG660" t="n">
        <v>4</v>
      </c>
      <c r="AH660" t="n">
        <v>0</v>
      </c>
      <c r="AI660" t="n">
        <v>2</v>
      </c>
      <c r="AJ660" t="n">
        <v>0</v>
      </c>
      <c r="AK660" t="n">
        <v>6</v>
      </c>
      <c r="AL660" t="n">
        <v>0</v>
      </c>
      <c r="AM660" t="n">
        <v>1</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HYPERLINK("https://creighton-primo.hosted.exlibrisgroup.com/primo-explore/search?tab=default_tab&amp;search_scope=EVERYTHING&amp;vid=01CRU&amp;lang=en_US&amp;offset=0&amp;query=any,contains,991005378089702656","Catalog Record")</f>
        <v/>
      </c>
      <c r="AT660">
        <f>HYPERLINK("http://www.worldcat.org/oclc/187116748","WorldCat Record")</f>
        <v/>
      </c>
      <c r="AU660" t="inlineStr">
        <is>
          <t>620135:eng</t>
        </is>
      </c>
      <c r="AV660" t="inlineStr">
        <is>
          <t>187116748</t>
        </is>
      </c>
      <c r="AW660" t="inlineStr">
        <is>
          <t>991005378089702656</t>
        </is>
      </c>
      <c r="AX660" t="inlineStr">
        <is>
          <t>991005378089702656</t>
        </is>
      </c>
      <c r="AY660" t="inlineStr">
        <is>
          <t>2270900450002656</t>
        </is>
      </c>
      <c r="AZ660" t="inlineStr">
        <is>
          <t>BOOK</t>
        </is>
      </c>
      <c r="BB660" t="inlineStr">
        <is>
          <t>9781596770034</t>
        </is>
      </c>
      <c r="BC660" t="inlineStr">
        <is>
          <t>32285005563449</t>
        </is>
      </c>
      <c r="BD660" t="inlineStr">
        <is>
          <t>893871095</t>
        </is>
      </c>
    </row>
    <row r="661">
      <c r="A661" t="inlineStr">
        <is>
          <t>No</t>
        </is>
      </c>
      <c r="B661" t="inlineStr">
        <is>
          <t>BV4593 .P54 2001</t>
        </is>
      </c>
      <c r="C661" t="inlineStr">
        <is>
          <t>0                      BV 4593000P  54          2001</t>
        </is>
      </c>
      <c r="D661" t="inlineStr">
        <is>
          <t>Spirituality @ work : 10 ways to balance your life on-the-job / Gregory F.A. Pierce ; foreword by Mark Hostetter.</t>
        </is>
      </c>
      <c r="F661" t="inlineStr">
        <is>
          <t>No</t>
        </is>
      </c>
      <c r="G661" t="inlineStr">
        <is>
          <t>1</t>
        </is>
      </c>
      <c r="H661" t="inlineStr">
        <is>
          <t>No</t>
        </is>
      </c>
      <c r="I661" t="inlineStr">
        <is>
          <t>No</t>
        </is>
      </c>
      <c r="J661" t="inlineStr">
        <is>
          <t>0</t>
        </is>
      </c>
      <c r="K661" t="inlineStr">
        <is>
          <t>Pierce, Gregory F.</t>
        </is>
      </c>
      <c r="L661" t="inlineStr">
        <is>
          <t>Chicago : LoyolaPress, c2001.</t>
        </is>
      </c>
      <c r="M661" t="inlineStr">
        <is>
          <t>2001</t>
        </is>
      </c>
      <c r="O661" t="inlineStr">
        <is>
          <t>eng</t>
        </is>
      </c>
      <c r="P661" t="inlineStr">
        <is>
          <t>ilu</t>
        </is>
      </c>
      <c r="R661" t="inlineStr">
        <is>
          <t xml:space="preserve">BV </t>
        </is>
      </c>
      <c r="S661" t="n">
        <v>6</v>
      </c>
      <c r="T661" t="n">
        <v>6</v>
      </c>
      <c r="U661" t="inlineStr">
        <is>
          <t>2010-01-27</t>
        </is>
      </c>
      <c r="V661" t="inlineStr">
        <is>
          <t>2010-01-27</t>
        </is>
      </c>
      <c r="W661" t="inlineStr">
        <is>
          <t>2001-08-14</t>
        </is>
      </c>
      <c r="X661" t="inlineStr">
        <is>
          <t>2001-08-14</t>
        </is>
      </c>
      <c r="Y661" t="n">
        <v>226</v>
      </c>
      <c r="Z661" t="n">
        <v>210</v>
      </c>
      <c r="AA661" t="n">
        <v>240</v>
      </c>
      <c r="AB661" t="n">
        <v>2</v>
      </c>
      <c r="AC661" t="n">
        <v>2</v>
      </c>
      <c r="AD661" t="n">
        <v>18</v>
      </c>
      <c r="AE661" t="n">
        <v>20</v>
      </c>
      <c r="AF661" t="n">
        <v>7</v>
      </c>
      <c r="AG661" t="n">
        <v>8</v>
      </c>
      <c r="AH661" t="n">
        <v>5</v>
      </c>
      <c r="AI661" t="n">
        <v>5</v>
      </c>
      <c r="AJ661" t="n">
        <v>11</v>
      </c>
      <c r="AK661" t="n">
        <v>13</v>
      </c>
      <c r="AL661" t="n">
        <v>1</v>
      </c>
      <c r="AM661" t="n">
        <v>1</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HYPERLINK("https://creighton-primo.hosted.exlibrisgroup.com/primo-explore/search?tab=default_tab&amp;search_scope=EVERYTHING&amp;vid=01CRU&amp;lang=en_US&amp;offset=0&amp;query=any,contains,991003577519702656","Catalog Record")</f>
        <v/>
      </c>
      <c r="AT661">
        <f>HYPERLINK("http://www.worldcat.org/oclc/44727895","WorldCat Record")</f>
        <v/>
      </c>
      <c r="AU661" t="inlineStr">
        <is>
          <t>303479990:eng</t>
        </is>
      </c>
      <c r="AV661" t="inlineStr">
        <is>
          <t>44727895</t>
        </is>
      </c>
      <c r="AW661" t="inlineStr">
        <is>
          <t>991003577519702656</t>
        </is>
      </c>
      <c r="AX661" t="inlineStr">
        <is>
          <t>991003577519702656</t>
        </is>
      </c>
      <c r="AY661" t="inlineStr">
        <is>
          <t>2256919100002656</t>
        </is>
      </c>
      <c r="AZ661" t="inlineStr">
        <is>
          <t>BOOK</t>
        </is>
      </c>
      <c r="BB661" t="inlineStr">
        <is>
          <t>9780829413496</t>
        </is>
      </c>
      <c r="BC661" t="inlineStr">
        <is>
          <t>32285004377668</t>
        </is>
      </c>
      <c r="BD661" t="inlineStr">
        <is>
          <t>893524976</t>
        </is>
      </c>
    </row>
    <row r="662">
      <c r="A662" t="inlineStr">
        <is>
          <t>No</t>
        </is>
      </c>
      <c r="B662" t="inlineStr">
        <is>
          <t>BV4596.B8 W63 1961</t>
        </is>
      </c>
      <c r="C662" t="inlineStr">
        <is>
          <t>0                      BV 4596000B  8                  W  63          1961</t>
        </is>
      </c>
      <c r="D662" t="inlineStr">
        <is>
          <t>Business and the christian virtues / by Brother La Salle Woelfel.</t>
        </is>
      </c>
      <c r="F662" t="inlineStr">
        <is>
          <t>No</t>
        </is>
      </c>
      <c r="G662" t="inlineStr">
        <is>
          <t>1</t>
        </is>
      </c>
      <c r="H662" t="inlineStr">
        <is>
          <t>Yes</t>
        </is>
      </c>
      <c r="I662" t="inlineStr">
        <is>
          <t>No</t>
        </is>
      </c>
      <c r="J662" t="inlineStr">
        <is>
          <t>0</t>
        </is>
      </c>
      <c r="K662" t="inlineStr">
        <is>
          <t>Woelfel, B. LaSalle.</t>
        </is>
      </c>
      <c r="L662" t="inlineStr">
        <is>
          <t>Austin : St. Edward's Univ. Pr., 1961.</t>
        </is>
      </c>
      <c r="M662" t="inlineStr">
        <is>
          <t>1961</t>
        </is>
      </c>
      <c r="O662" t="inlineStr">
        <is>
          <t>eng</t>
        </is>
      </c>
      <c r="P662" t="inlineStr">
        <is>
          <t>___</t>
        </is>
      </c>
      <c r="R662" t="inlineStr">
        <is>
          <t xml:space="preserve">BV </t>
        </is>
      </c>
      <c r="S662" t="n">
        <v>11</v>
      </c>
      <c r="T662" t="n">
        <v>11</v>
      </c>
      <c r="U662" t="inlineStr">
        <is>
          <t>2005-10-10</t>
        </is>
      </c>
      <c r="V662" t="inlineStr">
        <is>
          <t>2005-10-10</t>
        </is>
      </c>
      <c r="W662" t="inlineStr">
        <is>
          <t>1992-02-28</t>
        </is>
      </c>
      <c r="X662" t="inlineStr">
        <is>
          <t>1992-02-28</t>
        </is>
      </c>
      <c r="Y662" t="n">
        <v>73</v>
      </c>
      <c r="Z662" t="n">
        <v>69</v>
      </c>
      <c r="AA662" t="n">
        <v>69</v>
      </c>
      <c r="AB662" t="n">
        <v>1</v>
      </c>
      <c r="AC662" t="n">
        <v>1</v>
      </c>
      <c r="AD662" t="n">
        <v>19</v>
      </c>
      <c r="AE662" t="n">
        <v>19</v>
      </c>
      <c r="AF662" t="n">
        <v>7</v>
      </c>
      <c r="AG662" t="n">
        <v>7</v>
      </c>
      <c r="AH662" t="n">
        <v>4</v>
      </c>
      <c r="AI662" t="n">
        <v>4</v>
      </c>
      <c r="AJ662" t="n">
        <v>15</v>
      </c>
      <c r="AK662" t="n">
        <v>15</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HYPERLINK("https://creighton-primo.hosted.exlibrisgroup.com/primo-explore/search?tab=default_tab&amp;search_scope=EVERYTHING&amp;vid=01CRU&amp;lang=en_US&amp;offset=0&amp;query=any,contains,991003734699702656","Catalog Record")</f>
        <v/>
      </c>
      <c r="AT662">
        <f>HYPERLINK("http://www.worldcat.org/oclc/1389083","WorldCat Record")</f>
        <v/>
      </c>
      <c r="AU662" t="inlineStr">
        <is>
          <t>2334059:eng</t>
        </is>
      </c>
      <c r="AV662" t="inlineStr">
        <is>
          <t>1389083</t>
        </is>
      </c>
      <c r="AW662" t="inlineStr">
        <is>
          <t>991003734699702656</t>
        </is>
      </c>
      <c r="AX662" t="inlineStr">
        <is>
          <t>991003734699702656</t>
        </is>
      </c>
      <c r="AY662" t="inlineStr">
        <is>
          <t>2255723610002656</t>
        </is>
      </c>
      <c r="AZ662" t="inlineStr">
        <is>
          <t>BOOK</t>
        </is>
      </c>
      <c r="BC662" t="inlineStr">
        <is>
          <t>32285000967439</t>
        </is>
      </c>
      <c r="BD662" t="inlineStr">
        <is>
          <t>893336869</t>
        </is>
      </c>
    </row>
    <row r="663">
      <c r="A663" t="inlineStr">
        <is>
          <t>No</t>
        </is>
      </c>
      <c r="B663" t="inlineStr">
        <is>
          <t>BV4596.B8 W63 1961</t>
        </is>
      </c>
      <c r="C663" t="inlineStr">
        <is>
          <t>0                      BV 4596000B  8                  W  63          1961</t>
        </is>
      </c>
      <c r="D663" t="inlineStr">
        <is>
          <t>Business and the christian virtues / by Brother La Salle Woelfel.</t>
        </is>
      </c>
      <c r="F663" t="inlineStr">
        <is>
          <t>No</t>
        </is>
      </c>
      <c r="G663" t="inlineStr">
        <is>
          <t>1</t>
        </is>
      </c>
      <c r="H663" t="inlineStr">
        <is>
          <t>Yes</t>
        </is>
      </c>
      <c r="I663" t="inlineStr">
        <is>
          <t>No</t>
        </is>
      </c>
      <c r="J663" t="inlineStr">
        <is>
          <t>0</t>
        </is>
      </c>
      <c r="K663" t="inlineStr">
        <is>
          <t>Woelfel, B. LaSalle.</t>
        </is>
      </c>
      <c r="L663" t="inlineStr">
        <is>
          <t>Austin : St. Edward's Univ. Pr., 1961.</t>
        </is>
      </c>
      <c r="M663" t="inlineStr">
        <is>
          <t>1961</t>
        </is>
      </c>
      <c r="O663" t="inlineStr">
        <is>
          <t>eng</t>
        </is>
      </c>
      <c r="P663" t="inlineStr">
        <is>
          <t>___</t>
        </is>
      </c>
      <c r="R663" t="inlineStr">
        <is>
          <t xml:space="preserve">BV </t>
        </is>
      </c>
      <c r="S663" t="n">
        <v>0</v>
      </c>
      <c r="T663" t="n">
        <v>11</v>
      </c>
      <c r="V663" t="inlineStr">
        <is>
          <t>2005-10-10</t>
        </is>
      </c>
      <c r="W663" t="inlineStr">
        <is>
          <t>1992-02-28</t>
        </is>
      </c>
      <c r="X663" t="inlineStr">
        <is>
          <t>1992-02-28</t>
        </is>
      </c>
      <c r="Y663" t="n">
        <v>73</v>
      </c>
      <c r="Z663" t="n">
        <v>69</v>
      </c>
      <c r="AA663" t="n">
        <v>69</v>
      </c>
      <c r="AB663" t="n">
        <v>1</v>
      </c>
      <c r="AC663" t="n">
        <v>1</v>
      </c>
      <c r="AD663" t="n">
        <v>19</v>
      </c>
      <c r="AE663" t="n">
        <v>19</v>
      </c>
      <c r="AF663" t="n">
        <v>7</v>
      </c>
      <c r="AG663" t="n">
        <v>7</v>
      </c>
      <c r="AH663" t="n">
        <v>4</v>
      </c>
      <c r="AI663" t="n">
        <v>4</v>
      </c>
      <c r="AJ663" t="n">
        <v>15</v>
      </c>
      <c r="AK663" t="n">
        <v>15</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HYPERLINK("https://creighton-primo.hosted.exlibrisgroup.com/primo-explore/search?tab=default_tab&amp;search_scope=EVERYTHING&amp;vid=01CRU&amp;lang=en_US&amp;offset=0&amp;query=any,contains,991003734699702656","Catalog Record")</f>
        <v/>
      </c>
      <c r="AT663">
        <f>HYPERLINK("http://www.worldcat.org/oclc/1389083","WorldCat Record")</f>
        <v/>
      </c>
      <c r="AU663" t="inlineStr">
        <is>
          <t>2334059:eng</t>
        </is>
      </c>
      <c r="AV663" t="inlineStr">
        <is>
          <t>1389083</t>
        </is>
      </c>
      <c r="AW663" t="inlineStr">
        <is>
          <t>991003734699702656</t>
        </is>
      </c>
      <c r="AX663" t="inlineStr">
        <is>
          <t>991003734699702656</t>
        </is>
      </c>
      <c r="AY663" t="inlineStr">
        <is>
          <t>2255723610002656</t>
        </is>
      </c>
      <c r="AZ663" t="inlineStr">
        <is>
          <t>BOOK</t>
        </is>
      </c>
      <c r="BC663" t="inlineStr">
        <is>
          <t>32285000967447</t>
        </is>
      </c>
      <c r="BD663" t="inlineStr">
        <is>
          <t>893330715</t>
        </is>
      </c>
    </row>
    <row r="664">
      <c r="A664" t="inlineStr">
        <is>
          <t>No</t>
        </is>
      </c>
      <c r="B664" t="inlineStr">
        <is>
          <t>BV4596.S5 I87 1983</t>
        </is>
      </c>
      <c r="C664" t="inlineStr">
        <is>
          <t>0                      BV 4596000S  5                  I  87          1983</t>
        </is>
      </c>
      <c r="D664" t="inlineStr">
        <is>
          <t>Living alone : the spiritual dimension / Martin Israel.</t>
        </is>
      </c>
      <c r="F664" t="inlineStr">
        <is>
          <t>No</t>
        </is>
      </c>
      <c r="G664" t="inlineStr">
        <is>
          <t>1</t>
        </is>
      </c>
      <c r="H664" t="inlineStr">
        <is>
          <t>No</t>
        </is>
      </c>
      <c r="I664" t="inlineStr">
        <is>
          <t>No</t>
        </is>
      </c>
      <c r="J664" t="inlineStr">
        <is>
          <t>0</t>
        </is>
      </c>
      <c r="K664" t="inlineStr">
        <is>
          <t>Israel, Martin.</t>
        </is>
      </c>
      <c r="L664" t="inlineStr">
        <is>
          <t>New York : Crossroad, 1983, c1982.</t>
        </is>
      </c>
      <c r="M664" t="inlineStr">
        <is>
          <t>1983</t>
        </is>
      </c>
      <c r="O664" t="inlineStr">
        <is>
          <t>eng</t>
        </is>
      </c>
      <c r="P664" t="inlineStr">
        <is>
          <t>nyu</t>
        </is>
      </c>
      <c r="R664" t="inlineStr">
        <is>
          <t xml:space="preserve">BV </t>
        </is>
      </c>
      <c r="S664" t="n">
        <v>3</v>
      </c>
      <c r="T664" t="n">
        <v>3</v>
      </c>
      <c r="U664" t="inlineStr">
        <is>
          <t>2002-12-06</t>
        </is>
      </c>
      <c r="V664" t="inlineStr">
        <is>
          <t>2002-12-06</t>
        </is>
      </c>
      <c r="W664" t="inlineStr">
        <is>
          <t>1991-03-21</t>
        </is>
      </c>
      <c r="X664" t="inlineStr">
        <is>
          <t>1991-03-21</t>
        </is>
      </c>
      <c r="Y664" t="n">
        <v>100</v>
      </c>
      <c r="Z664" t="n">
        <v>85</v>
      </c>
      <c r="AA664" t="n">
        <v>92</v>
      </c>
      <c r="AB664" t="n">
        <v>2</v>
      </c>
      <c r="AC664" t="n">
        <v>2</v>
      </c>
      <c r="AD664" t="n">
        <v>6</v>
      </c>
      <c r="AE664" t="n">
        <v>6</v>
      </c>
      <c r="AF664" t="n">
        <v>0</v>
      </c>
      <c r="AG664" t="n">
        <v>0</v>
      </c>
      <c r="AH664" t="n">
        <v>1</v>
      </c>
      <c r="AI664" t="n">
        <v>1</v>
      </c>
      <c r="AJ664" t="n">
        <v>4</v>
      </c>
      <c r="AK664" t="n">
        <v>4</v>
      </c>
      <c r="AL664" t="n">
        <v>1</v>
      </c>
      <c r="AM664" t="n">
        <v>1</v>
      </c>
      <c r="AN664" t="n">
        <v>0</v>
      </c>
      <c r="AO664" t="n">
        <v>0</v>
      </c>
      <c r="AP664" t="inlineStr">
        <is>
          <t>No</t>
        </is>
      </c>
      <c r="AQ664" t="inlineStr">
        <is>
          <t>Yes</t>
        </is>
      </c>
      <c r="AR664">
        <f>HYPERLINK("http://catalog.hathitrust.org/Record/006019422","HathiTrust Record")</f>
        <v/>
      </c>
      <c r="AS664">
        <f>HYPERLINK("https://creighton-primo.hosted.exlibrisgroup.com/primo-explore/search?tab=default_tab&amp;search_scope=EVERYTHING&amp;vid=01CRU&amp;lang=en_US&amp;offset=0&amp;query=any,contains,991000229449702656","Catalog Record")</f>
        <v/>
      </c>
      <c r="AT664">
        <f>HYPERLINK("http://www.worldcat.org/oclc/9624826","WorldCat Record")</f>
        <v/>
      </c>
      <c r="AU664" t="inlineStr">
        <is>
          <t>491153:eng</t>
        </is>
      </c>
      <c r="AV664" t="inlineStr">
        <is>
          <t>9624826</t>
        </is>
      </c>
      <c r="AW664" t="inlineStr">
        <is>
          <t>991000229449702656</t>
        </is>
      </c>
      <c r="AX664" t="inlineStr">
        <is>
          <t>991000229449702656</t>
        </is>
      </c>
      <c r="AY664" t="inlineStr">
        <is>
          <t>2272312210002656</t>
        </is>
      </c>
      <c r="AZ664" t="inlineStr">
        <is>
          <t>BOOK</t>
        </is>
      </c>
      <c r="BB664" t="inlineStr">
        <is>
          <t>9780824505035</t>
        </is>
      </c>
      <c r="BC664" t="inlineStr">
        <is>
          <t>32285000536465</t>
        </is>
      </c>
      <c r="BD664" t="inlineStr">
        <is>
          <t>893438118</t>
        </is>
      </c>
    </row>
    <row r="665">
      <c r="A665" t="inlineStr">
        <is>
          <t>No</t>
        </is>
      </c>
      <c r="B665" t="inlineStr">
        <is>
          <t>BV4596.S9 S68 1985</t>
        </is>
      </c>
      <c r="C665" t="inlineStr">
        <is>
          <t>0                      BV 4596000S  9                  S  68          1985</t>
        </is>
      </c>
      <c r="D665" t="inlineStr">
        <is>
          <t>The Spirituality of the religious educator / edited by James Michael Lee.</t>
        </is>
      </c>
      <c r="F665" t="inlineStr">
        <is>
          <t>No</t>
        </is>
      </c>
      <c r="G665" t="inlineStr">
        <is>
          <t>1</t>
        </is>
      </c>
      <c r="H665" t="inlineStr">
        <is>
          <t>No</t>
        </is>
      </c>
      <c r="I665" t="inlineStr">
        <is>
          <t>No</t>
        </is>
      </c>
      <c r="J665" t="inlineStr">
        <is>
          <t>0</t>
        </is>
      </c>
      <c r="L665" t="inlineStr">
        <is>
          <t>Birmingham, Ala. : Religious Education Press, 1985.</t>
        </is>
      </c>
      <c r="M665" t="inlineStr">
        <is>
          <t>1985</t>
        </is>
      </c>
      <c r="O665" t="inlineStr">
        <is>
          <t>eng</t>
        </is>
      </c>
      <c r="P665" t="inlineStr">
        <is>
          <t>alu</t>
        </is>
      </c>
      <c r="R665" t="inlineStr">
        <is>
          <t xml:space="preserve">BV </t>
        </is>
      </c>
      <c r="S665" t="n">
        <v>1</v>
      </c>
      <c r="T665" t="n">
        <v>1</v>
      </c>
      <c r="U665" t="inlineStr">
        <is>
          <t>1994-08-03</t>
        </is>
      </c>
      <c r="V665" t="inlineStr">
        <is>
          <t>1994-08-03</t>
        </is>
      </c>
      <c r="W665" t="inlineStr">
        <is>
          <t>1991-08-12</t>
        </is>
      </c>
      <c r="X665" t="inlineStr">
        <is>
          <t>1991-08-12</t>
        </is>
      </c>
      <c r="Y665" t="n">
        <v>365</v>
      </c>
      <c r="Z665" t="n">
        <v>301</v>
      </c>
      <c r="AA665" t="n">
        <v>301</v>
      </c>
      <c r="AB665" t="n">
        <v>4</v>
      </c>
      <c r="AC665" t="n">
        <v>4</v>
      </c>
      <c r="AD665" t="n">
        <v>24</v>
      </c>
      <c r="AE665" t="n">
        <v>24</v>
      </c>
      <c r="AF665" t="n">
        <v>8</v>
      </c>
      <c r="AG665" t="n">
        <v>8</v>
      </c>
      <c r="AH665" t="n">
        <v>5</v>
      </c>
      <c r="AI665" t="n">
        <v>5</v>
      </c>
      <c r="AJ665" t="n">
        <v>14</v>
      </c>
      <c r="AK665" t="n">
        <v>14</v>
      </c>
      <c r="AL665" t="n">
        <v>2</v>
      </c>
      <c r="AM665" t="n">
        <v>2</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HYPERLINK("https://creighton-primo.hosted.exlibrisgroup.com/primo-explore/search?tab=default_tab&amp;search_scope=EVERYTHING&amp;vid=01CRU&amp;lang=en_US&amp;offset=0&amp;query=any,contains,991000602119702656","Catalog Record")</f>
        <v/>
      </c>
      <c r="AT665">
        <f>HYPERLINK("http://www.worldcat.org/oclc/11842233","WorldCat Record")</f>
        <v/>
      </c>
      <c r="AU665" t="inlineStr">
        <is>
          <t>4720176:eng</t>
        </is>
      </c>
      <c r="AV665" t="inlineStr">
        <is>
          <t>11842233</t>
        </is>
      </c>
      <c r="AW665" t="inlineStr">
        <is>
          <t>991000602119702656</t>
        </is>
      </c>
      <c r="AX665" t="inlineStr">
        <is>
          <t>991000602119702656</t>
        </is>
      </c>
      <c r="AY665" t="inlineStr">
        <is>
          <t>2265160530002656</t>
        </is>
      </c>
      <c r="AZ665" t="inlineStr">
        <is>
          <t>BOOK</t>
        </is>
      </c>
      <c r="BB665" t="inlineStr">
        <is>
          <t>9780891350453</t>
        </is>
      </c>
      <c r="BC665" t="inlineStr">
        <is>
          <t>32285000683069</t>
        </is>
      </c>
      <c r="BD665" t="inlineStr">
        <is>
          <t>893419611</t>
        </is>
      </c>
    </row>
    <row r="666">
      <c r="A666" t="inlineStr">
        <is>
          <t>No</t>
        </is>
      </c>
      <c r="B666" t="inlineStr">
        <is>
          <t>BV4597.3 .W47 1994</t>
        </is>
      </c>
      <c r="C666" t="inlineStr">
        <is>
          <t>0                      BV 4597300W  47          1994</t>
        </is>
      </c>
      <c r="D666" t="inlineStr">
        <is>
          <t>Shadows of the heart : a spirituality of the negative emotions / James D. Whitehead and Evelyn Eaton Whitehead.</t>
        </is>
      </c>
      <c r="F666" t="inlineStr">
        <is>
          <t>No</t>
        </is>
      </c>
      <c r="G666" t="inlineStr">
        <is>
          <t>1</t>
        </is>
      </c>
      <c r="H666" t="inlineStr">
        <is>
          <t>No</t>
        </is>
      </c>
      <c r="I666" t="inlineStr">
        <is>
          <t>No</t>
        </is>
      </c>
      <c r="J666" t="inlineStr">
        <is>
          <t>0</t>
        </is>
      </c>
      <c r="K666" t="inlineStr">
        <is>
          <t>Whitehead, James D.</t>
        </is>
      </c>
      <c r="L666" t="inlineStr">
        <is>
          <t>New York : Crossroad, 1994.</t>
        </is>
      </c>
      <c r="M666" t="inlineStr">
        <is>
          <t>1994</t>
        </is>
      </c>
      <c r="O666" t="inlineStr">
        <is>
          <t>eng</t>
        </is>
      </c>
      <c r="P666" t="inlineStr">
        <is>
          <t>nyu</t>
        </is>
      </c>
      <c r="R666" t="inlineStr">
        <is>
          <t xml:space="preserve">BV </t>
        </is>
      </c>
      <c r="S666" t="n">
        <v>8</v>
      </c>
      <c r="T666" t="n">
        <v>8</v>
      </c>
      <c r="U666" t="inlineStr">
        <is>
          <t>2000-11-20</t>
        </is>
      </c>
      <c r="V666" t="inlineStr">
        <is>
          <t>2000-11-20</t>
        </is>
      </c>
      <c r="W666" t="inlineStr">
        <is>
          <t>1994-11-13</t>
        </is>
      </c>
      <c r="X666" t="inlineStr">
        <is>
          <t>1994-11-13</t>
        </is>
      </c>
      <c r="Y666" t="n">
        <v>200</v>
      </c>
      <c r="Z666" t="n">
        <v>163</v>
      </c>
      <c r="AA666" t="n">
        <v>198</v>
      </c>
      <c r="AB666" t="n">
        <v>1</v>
      </c>
      <c r="AC666" t="n">
        <v>1</v>
      </c>
      <c r="AD666" t="n">
        <v>16</v>
      </c>
      <c r="AE666" t="n">
        <v>16</v>
      </c>
      <c r="AF666" t="n">
        <v>3</v>
      </c>
      <c r="AG666" t="n">
        <v>3</v>
      </c>
      <c r="AH666" t="n">
        <v>4</v>
      </c>
      <c r="AI666" t="n">
        <v>4</v>
      </c>
      <c r="AJ666" t="n">
        <v>12</v>
      </c>
      <c r="AK666" t="n">
        <v>12</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HYPERLINK("https://creighton-primo.hosted.exlibrisgroup.com/primo-explore/search?tab=default_tab&amp;search_scope=EVERYTHING&amp;vid=01CRU&amp;lang=en_US&amp;offset=0&amp;query=any,contains,991002337779702656","Catalog Record")</f>
        <v/>
      </c>
      <c r="AT666">
        <f>HYPERLINK("http://www.worldcat.org/oclc/30436766","WorldCat Record")</f>
        <v/>
      </c>
      <c r="AU666" t="inlineStr">
        <is>
          <t>40956959:eng</t>
        </is>
      </c>
      <c r="AV666" t="inlineStr">
        <is>
          <t>30436766</t>
        </is>
      </c>
      <c r="AW666" t="inlineStr">
        <is>
          <t>991002337779702656</t>
        </is>
      </c>
      <c r="AX666" t="inlineStr">
        <is>
          <t>991002337779702656</t>
        </is>
      </c>
      <c r="AY666" t="inlineStr">
        <is>
          <t>2258879650002656</t>
        </is>
      </c>
      <c r="AZ666" t="inlineStr">
        <is>
          <t>BOOK</t>
        </is>
      </c>
      <c r="BB666" t="inlineStr">
        <is>
          <t>9780824514419</t>
        </is>
      </c>
      <c r="BC666" t="inlineStr">
        <is>
          <t>32285001957306</t>
        </is>
      </c>
      <c r="BD666" t="inlineStr">
        <is>
          <t>893445104</t>
        </is>
      </c>
    </row>
    <row r="667">
      <c r="A667" t="inlineStr">
        <is>
          <t>No</t>
        </is>
      </c>
      <c r="B667" t="inlineStr">
        <is>
          <t>BV4597.52 .C7 1997</t>
        </is>
      </c>
      <c r="C667" t="inlineStr">
        <is>
          <t>0                      BV 4597520C  7           1997</t>
        </is>
      </c>
      <c r="D667" t="inlineStr">
        <is>
          <t>Connecting : healing for ourselves and our relationships : a radical new vision / Larry Crabb.</t>
        </is>
      </c>
      <c r="F667" t="inlineStr">
        <is>
          <t>No</t>
        </is>
      </c>
      <c r="G667" t="inlineStr">
        <is>
          <t>1</t>
        </is>
      </c>
      <c r="H667" t="inlineStr">
        <is>
          <t>No</t>
        </is>
      </c>
      <c r="I667" t="inlineStr">
        <is>
          <t>No</t>
        </is>
      </c>
      <c r="J667" t="inlineStr">
        <is>
          <t>0</t>
        </is>
      </c>
      <c r="K667" t="inlineStr">
        <is>
          <t>Crabb, Larry, 1944-</t>
        </is>
      </c>
      <c r="L667" t="inlineStr">
        <is>
          <t>Nashville, Tenn. : Word Pub., c1997.</t>
        </is>
      </c>
      <c r="M667" t="inlineStr">
        <is>
          <t>1997</t>
        </is>
      </c>
      <c r="O667" t="inlineStr">
        <is>
          <t>eng</t>
        </is>
      </c>
      <c r="P667" t="inlineStr">
        <is>
          <t>tnu</t>
        </is>
      </c>
      <c r="R667" t="inlineStr">
        <is>
          <t xml:space="preserve">BV </t>
        </is>
      </c>
      <c r="S667" t="n">
        <v>2</v>
      </c>
      <c r="T667" t="n">
        <v>2</v>
      </c>
      <c r="U667" t="inlineStr">
        <is>
          <t>2004-03-17</t>
        </is>
      </c>
      <c r="V667" t="inlineStr">
        <is>
          <t>2004-03-17</t>
        </is>
      </c>
      <c r="W667" t="inlineStr">
        <is>
          <t>2004-03-17</t>
        </is>
      </c>
      <c r="X667" t="inlineStr">
        <is>
          <t>2004-03-17</t>
        </is>
      </c>
      <c r="Y667" t="n">
        <v>285</v>
      </c>
      <c r="Z667" t="n">
        <v>263</v>
      </c>
      <c r="AA667" t="n">
        <v>313</v>
      </c>
      <c r="AB667" t="n">
        <v>2</v>
      </c>
      <c r="AC667" t="n">
        <v>2</v>
      </c>
      <c r="AD667" t="n">
        <v>4</v>
      </c>
      <c r="AE667" t="n">
        <v>4</v>
      </c>
      <c r="AF667" t="n">
        <v>3</v>
      </c>
      <c r="AG667" t="n">
        <v>3</v>
      </c>
      <c r="AH667" t="n">
        <v>0</v>
      </c>
      <c r="AI667" t="n">
        <v>0</v>
      </c>
      <c r="AJ667" t="n">
        <v>0</v>
      </c>
      <c r="AK667" t="n">
        <v>0</v>
      </c>
      <c r="AL667" t="n">
        <v>1</v>
      </c>
      <c r="AM667" t="n">
        <v>1</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HYPERLINK("https://creighton-primo.hosted.exlibrisgroup.com/primo-explore/search?tab=default_tab&amp;search_scope=EVERYTHING&amp;vid=01CRU&amp;lang=en_US&amp;offset=0&amp;query=any,contains,991004264179702656","Catalog Record")</f>
        <v/>
      </c>
      <c r="AT667">
        <f>HYPERLINK("http://www.worldcat.org/oclc/37260988","WorldCat Record")</f>
        <v/>
      </c>
      <c r="AU667" t="inlineStr">
        <is>
          <t>635464:eng</t>
        </is>
      </c>
      <c r="AV667" t="inlineStr">
        <is>
          <t>37260988</t>
        </is>
      </c>
      <c r="AW667" t="inlineStr">
        <is>
          <t>991004264179702656</t>
        </is>
      </c>
      <c r="AX667" t="inlineStr">
        <is>
          <t>991004264179702656</t>
        </is>
      </c>
      <c r="AY667" t="inlineStr">
        <is>
          <t>2271504570002656</t>
        </is>
      </c>
      <c r="AZ667" t="inlineStr">
        <is>
          <t>BOOK</t>
        </is>
      </c>
      <c r="BB667" t="inlineStr">
        <is>
          <t>9780849914133</t>
        </is>
      </c>
      <c r="BC667" t="inlineStr">
        <is>
          <t>32285004895131</t>
        </is>
      </c>
      <c r="BD667" t="inlineStr">
        <is>
          <t>893337507</t>
        </is>
      </c>
    </row>
    <row r="668">
      <c r="A668" t="inlineStr">
        <is>
          <t>No</t>
        </is>
      </c>
      <c r="B668" t="inlineStr">
        <is>
          <t>BV4597.52 .W43 1999</t>
        </is>
      </c>
      <c r="C668" t="inlineStr">
        <is>
          <t>0                      BV 4597520W  43          1999</t>
        </is>
      </c>
      <c r="D668" t="inlineStr">
        <is>
          <t>Soulcraft : how God shapes us through relationships / Douglas D. Webster.</t>
        </is>
      </c>
      <c r="F668" t="inlineStr">
        <is>
          <t>No</t>
        </is>
      </c>
      <c r="G668" t="inlineStr">
        <is>
          <t>1</t>
        </is>
      </c>
      <c r="H668" t="inlineStr">
        <is>
          <t>No</t>
        </is>
      </c>
      <c r="I668" t="inlineStr">
        <is>
          <t>No</t>
        </is>
      </c>
      <c r="J668" t="inlineStr">
        <is>
          <t>0</t>
        </is>
      </c>
      <c r="K668" t="inlineStr">
        <is>
          <t>Webster, Douglas D.</t>
        </is>
      </c>
      <c r="L668" t="inlineStr">
        <is>
          <t>Downers Grove, Ill. : InterVarsity Press, c1999.</t>
        </is>
      </c>
      <c r="M668" t="inlineStr">
        <is>
          <t>1999</t>
        </is>
      </c>
      <c r="O668" t="inlineStr">
        <is>
          <t>eng</t>
        </is>
      </c>
      <c r="P668" t="inlineStr">
        <is>
          <t>ilu</t>
        </is>
      </c>
      <c r="R668" t="inlineStr">
        <is>
          <t xml:space="preserve">BV </t>
        </is>
      </c>
      <c r="S668" t="n">
        <v>3</v>
      </c>
      <c r="T668" t="n">
        <v>3</v>
      </c>
      <c r="U668" t="inlineStr">
        <is>
          <t>2007-04-18</t>
        </is>
      </c>
      <c r="V668" t="inlineStr">
        <is>
          <t>2007-04-18</t>
        </is>
      </c>
      <c r="W668" t="inlineStr">
        <is>
          <t>2006-04-11</t>
        </is>
      </c>
      <c r="X668" t="inlineStr">
        <is>
          <t>2006-04-11</t>
        </is>
      </c>
      <c r="Y668" t="n">
        <v>88</v>
      </c>
      <c r="Z668" t="n">
        <v>74</v>
      </c>
      <c r="AA668" t="n">
        <v>76</v>
      </c>
      <c r="AB668" t="n">
        <v>1</v>
      </c>
      <c r="AC668" t="n">
        <v>1</v>
      </c>
      <c r="AD668" t="n">
        <v>4</v>
      </c>
      <c r="AE668" t="n">
        <v>4</v>
      </c>
      <c r="AF668" t="n">
        <v>4</v>
      </c>
      <c r="AG668" t="n">
        <v>4</v>
      </c>
      <c r="AH668" t="n">
        <v>0</v>
      </c>
      <c r="AI668" t="n">
        <v>0</v>
      </c>
      <c r="AJ668" t="n">
        <v>0</v>
      </c>
      <c r="AK668" t="n">
        <v>0</v>
      </c>
      <c r="AL668" t="n">
        <v>0</v>
      </c>
      <c r="AM668" t="n">
        <v>0</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HYPERLINK("https://creighton-primo.hosted.exlibrisgroup.com/primo-explore/search?tab=default_tab&amp;search_scope=EVERYTHING&amp;vid=01CRU&amp;lang=en_US&amp;offset=0&amp;query=any,contains,991004794499702656","Catalog Record")</f>
        <v/>
      </c>
      <c r="AT668">
        <f>HYPERLINK("http://www.worldcat.org/oclc/42641647","WorldCat Record")</f>
        <v/>
      </c>
      <c r="AU668" t="inlineStr">
        <is>
          <t>43907598:eng</t>
        </is>
      </c>
      <c r="AV668" t="inlineStr">
        <is>
          <t>42641647</t>
        </is>
      </c>
      <c r="AW668" t="inlineStr">
        <is>
          <t>991004794499702656</t>
        </is>
      </c>
      <c r="AX668" t="inlineStr">
        <is>
          <t>991004794499702656</t>
        </is>
      </c>
      <c r="AY668" t="inlineStr">
        <is>
          <t>2258556860002656</t>
        </is>
      </c>
      <c r="AZ668" t="inlineStr">
        <is>
          <t>BOOK</t>
        </is>
      </c>
      <c r="BB668" t="inlineStr">
        <is>
          <t>9780830822539</t>
        </is>
      </c>
      <c r="BC668" t="inlineStr">
        <is>
          <t>32285005181283</t>
        </is>
      </c>
      <c r="BD668" t="inlineStr">
        <is>
          <t>893536212</t>
        </is>
      </c>
    </row>
    <row r="669">
      <c r="A669" t="inlineStr">
        <is>
          <t>No</t>
        </is>
      </c>
      <c r="B669" t="inlineStr">
        <is>
          <t>BV4597.53.I55 M88 1995</t>
        </is>
      </c>
      <c r="C669" t="inlineStr">
        <is>
          <t>0                      BV 4597530I  55                 M  88          1995</t>
        </is>
      </c>
      <c r="D669" t="inlineStr">
        <is>
          <t>Late have I loved thee : the recovery of intimacy / Susan Muto.</t>
        </is>
      </c>
      <c r="F669" t="inlineStr">
        <is>
          <t>No</t>
        </is>
      </c>
      <c r="G669" t="inlineStr">
        <is>
          <t>1</t>
        </is>
      </c>
      <c r="H669" t="inlineStr">
        <is>
          <t>No</t>
        </is>
      </c>
      <c r="I669" t="inlineStr">
        <is>
          <t>No</t>
        </is>
      </c>
      <c r="J669" t="inlineStr">
        <is>
          <t>0</t>
        </is>
      </c>
      <c r="K669" t="inlineStr">
        <is>
          <t>Muto, Susan, 1942-</t>
        </is>
      </c>
      <c r="L669" t="inlineStr">
        <is>
          <t>New York : Crossroad, 1995.</t>
        </is>
      </c>
      <c r="M669" t="inlineStr">
        <is>
          <t>1995</t>
        </is>
      </c>
      <c r="O669" t="inlineStr">
        <is>
          <t>eng</t>
        </is>
      </c>
      <c r="P669" t="inlineStr">
        <is>
          <t>nyu</t>
        </is>
      </c>
      <c r="R669" t="inlineStr">
        <is>
          <t xml:space="preserve">BV </t>
        </is>
      </c>
      <c r="S669" t="n">
        <v>4</v>
      </c>
      <c r="T669" t="n">
        <v>4</v>
      </c>
      <c r="U669" t="inlineStr">
        <is>
          <t>2007-06-05</t>
        </is>
      </c>
      <c r="V669" t="inlineStr">
        <is>
          <t>2007-06-05</t>
        </is>
      </c>
      <c r="W669" t="inlineStr">
        <is>
          <t>1995-09-18</t>
        </is>
      </c>
      <c r="X669" t="inlineStr">
        <is>
          <t>1995-09-18</t>
        </is>
      </c>
      <c r="Y669" t="n">
        <v>111</v>
      </c>
      <c r="Z669" t="n">
        <v>103</v>
      </c>
      <c r="AA669" t="n">
        <v>109</v>
      </c>
      <c r="AB669" t="n">
        <v>2</v>
      </c>
      <c r="AC669" t="n">
        <v>2</v>
      </c>
      <c r="AD669" t="n">
        <v>9</v>
      </c>
      <c r="AE669" t="n">
        <v>9</v>
      </c>
      <c r="AF669" t="n">
        <v>2</v>
      </c>
      <c r="AG669" t="n">
        <v>2</v>
      </c>
      <c r="AH669" t="n">
        <v>2</v>
      </c>
      <c r="AI669" t="n">
        <v>2</v>
      </c>
      <c r="AJ669" t="n">
        <v>6</v>
      </c>
      <c r="AK669" t="n">
        <v>6</v>
      </c>
      <c r="AL669" t="n">
        <v>0</v>
      </c>
      <c r="AM669" t="n">
        <v>0</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HYPERLINK("https://creighton-primo.hosted.exlibrisgroup.com/primo-explore/search?tab=default_tab&amp;search_scope=EVERYTHING&amp;vid=01CRU&amp;lang=en_US&amp;offset=0&amp;query=any,contains,991002509789702656","Catalog Record")</f>
        <v/>
      </c>
      <c r="AT669">
        <f>HYPERLINK("http://www.worldcat.org/oclc/32627620","WorldCat Record")</f>
        <v/>
      </c>
      <c r="AU669" t="inlineStr">
        <is>
          <t>4732306544:eng</t>
        </is>
      </c>
      <c r="AV669" t="inlineStr">
        <is>
          <t>32627620</t>
        </is>
      </c>
      <c r="AW669" t="inlineStr">
        <is>
          <t>991002509789702656</t>
        </is>
      </c>
      <c r="AX669" t="inlineStr">
        <is>
          <t>991002509789702656</t>
        </is>
      </c>
      <c r="AY669" t="inlineStr">
        <is>
          <t>2270477720002656</t>
        </is>
      </c>
      <c r="AZ669" t="inlineStr">
        <is>
          <t>BOOK</t>
        </is>
      </c>
      <c r="BB669" t="inlineStr">
        <is>
          <t>9780824515225</t>
        </is>
      </c>
      <c r="BC669" t="inlineStr">
        <is>
          <t>32285002094331</t>
        </is>
      </c>
      <c r="BD669" t="inlineStr">
        <is>
          <t>893257396</t>
        </is>
      </c>
    </row>
    <row r="670">
      <c r="A670" t="inlineStr">
        <is>
          <t>No</t>
        </is>
      </c>
      <c r="B670" t="inlineStr">
        <is>
          <t>BV4597.53.L43 F35 2000</t>
        </is>
      </c>
      <c r="C670" t="inlineStr">
        <is>
          <t>0                      BV 4597530L  43                 F  35          2000</t>
        </is>
      </c>
      <c r="D670" t="inlineStr">
        <is>
          <t>Faith in leadership : how leaders live out their faith in their work-- and why it matters / Robert Banks, Kimberly Powell, editors ; foreword by Max de Pree.</t>
        </is>
      </c>
      <c r="F670" t="inlineStr">
        <is>
          <t>No</t>
        </is>
      </c>
      <c r="G670" t="inlineStr">
        <is>
          <t>1</t>
        </is>
      </c>
      <c r="H670" t="inlineStr">
        <is>
          <t>No</t>
        </is>
      </c>
      <c r="I670" t="inlineStr">
        <is>
          <t>No</t>
        </is>
      </c>
      <c r="J670" t="inlineStr">
        <is>
          <t>0</t>
        </is>
      </c>
      <c r="L670" t="inlineStr">
        <is>
          <t>San Francisco : Jossey-Bass, c2000.</t>
        </is>
      </c>
      <c r="M670" t="inlineStr">
        <is>
          <t>2000</t>
        </is>
      </c>
      <c r="N670" t="inlineStr">
        <is>
          <t>1st ed.</t>
        </is>
      </c>
      <c r="O670" t="inlineStr">
        <is>
          <t>eng</t>
        </is>
      </c>
      <c r="P670" t="inlineStr">
        <is>
          <t>cau</t>
        </is>
      </c>
      <c r="R670" t="inlineStr">
        <is>
          <t xml:space="preserve">BV </t>
        </is>
      </c>
      <c r="S670" t="n">
        <v>2</v>
      </c>
      <c r="T670" t="n">
        <v>2</v>
      </c>
      <c r="U670" t="inlineStr">
        <is>
          <t>2006-04-10</t>
        </is>
      </c>
      <c r="V670" t="inlineStr">
        <is>
          <t>2006-04-10</t>
        </is>
      </c>
      <c r="W670" t="inlineStr">
        <is>
          <t>2006-04-10</t>
        </is>
      </c>
      <c r="X670" t="inlineStr">
        <is>
          <t>2006-04-10</t>
        </is>
      </c>
      <c r="Y670" t="n">
        <v>298</v>
      </c>
      <c r="Z670" t="n">
        <v>235</v>
      </c>
      <c r="AA670" t="n">
        <v>241</v>
      </c>
      <c r="AB670" t="n">
        <v>4</v>
      </c>
      <c r="AC670" t="n">
        <v>4</v>
      </c>
      <c r="AD670" t="n">
        <v>14</v>
      </c>
      <c r="AE670" t="n">
        <v>14</v>
      </c>
      <c r="AF670" t="n">
        <v>5</v>
      </c>
      <c r="AG670" t="n">
        <v>5</v>
      </c>
      <c r="AH670" t="n">
        <v>2</v>
      </c>
      <c r="AI670" t="n">
        <v>2</v>
      </c>
      <c r="AJ670" t="n">
        <v>6</v>
      </c>
      <c r="AK670" t="n">
        <v>6</v>
      </c>
      <c r="AL670" t="n">
        <v>3</v>
      </c>
      <c r="AM670" t="n">
        <v>3</v>
      </c>
      <c r="AN670" t="n">
        <v>0</v>
      </c>
      <c r="AO670" t="n">
        <v>0</v>
      </c>
      <c r="AP670" t="inlineStr">
        <is>
          <t>No</t>
        </is>
      </c>
      <c r="AQ670" t="inlineStr">
        <is>
          <t>Yes</t>
        </is>
      </c>
      <c r="AR670">
        <f>HYPERLINK("http://catalog.hathitrust.org/Record/102007958","HathiTrust Record")</f>
        <v/>
      </c>
      <c r="AS670">
        <f>HYPERLINK("https://creighton-primo.hosted.exlibrisgroup.com/primo-explore/search?tab=default_tab&amp;search_scope=EVERYTHING&amp;vid=01CRU&amp;lang=en_US&amp;offset=0&amp;query=any,contains,991004780649702656","Catalog Record")</f>
        <v/>
      </c>
      <c r="AT670">
        <f>HYPERLINK("http://www.worldcat.org/oclc/42680477","WorldCat Record")</f>
        <v/>
      </c>
      <c r="AU670" t="inlineStr">
        <is>
          <t>836989091:eng</t>
        </is>
      </c>
      <c r="AV670" t="inlineStr">
        <is>
          <t>42680477</t>
        </is>
      </c>
      <c r="AW670" t="inlineStr">
        <is>
          <t>991004780649702656</t>
        </is>
      </c>
      <c r="AX670" t="inlineStr">
        <is>
          <t>991004780649702656</t>
        </is>
      </c>
      <c r="AY670" t="inlineStr">
        <is>
          <t>2261974590002656</t>
        </is>
      </c>
      <c r="AZ670" t="inlineStr">
        <is>
          <t>BOOK</t>
        </is>
      </c>
      <c r="BB670" t="inlineStr">
        <is>
          <t>9780787945862</t>
        </is>
      </c>
      <c r="BC670" t="inlineStr">
        <is>
          <t>32285005180574</t>
        </is>
      </c>
      <c r="BD670" t="inlineStr">
        <is>
          <t>893424184</t>
        </is>
      </c>
    </row>
    <row r="671">
      <c r="A671" t="inlineStr">
        <is>
          <t>No</t>
        </is>
      </c>
      <c r="B671" t="inlineStr">
        <is>
          <t>BV4597.53.L43 L57 2002</t>
        </is>
      </c>
      <c r="C671" t="inlineStr">
        <is>
          <t>0                      BV 4597530L  43                 L  57          2002</t>
        </is>
      </c>
      <c r="D671" t="inlineStr">
        <is>
          <t>Life@work on leadership : enduring insights for men and women of faith / [edited by] Stephen R. Graves and Thomas G. Addington ; foreword by Ken Blanchard.</t>
        </is>
      </c>
      <c r="F671" t="inlineStr">
        <is>
          <t>No</t>
        </is>
      </c>
      <c r="G671" t="inlineStr">
        <is>
          <t>1</t>
        </is>
      </c>
      <c r="H671" t="inlineStr">
        <is>
          <t>No</t>
        </is>
      </c>
      <c r="I671" t="inlineStr">
        <is>
          <t>No</t>
        </is>
      </c>
      <c r="J671" t="inlineStr">
        <is>
          <t>0</t>
        </is>
      </c>
      <c r="L671" t="inlineStr">
        <is>
          <t>San Francisco : Jossey-Bass, c2002.</t>
        </is>
      </c>
      <c r="M671" t="inlineStr">
        <is>
          <t>2002</t>
        </is>
      </c>
      <c r="N671" t="inlineStr">
        <is>
          <t>1st ed.</t>
        </is>
      </c>
      <c r="O671" t="inlineStr">
        <is>
          <t>eng</t>
        </is>
      </c>
      <c r="P671" t="inlineStr">
        <is>
          <t>cau</t>
        </is>
      </c>
      <c r="R671" t="inlineStr">
        <is>
          <t xml:space="preserve">BV </t>
        </is>
      </c>
      <c r="S671" t="n">
        <v>3</v>
      </c>
      <c r="T671" t="n">
        <v>3</v>
      </c>
      <c r="U671" t="inlineStr">
        <is>
          <t>2008-01-28</t>
        </is>
      </c>
      <c r="V671" t="inlineStr">
        <is>
          <t>2008-01-28</t>
        </is>
      </c>
      <c r="W671" t="inlineStr">
        <is>
          <t>2005-04-07</t>
        </is>
      </c>
      <c r="X671" t="inlineStr">
        <is>
          <t>2005-04-07</t>
        </is>
      </c>
      <c r="Y671" t="n">
        <v>147</v>
      </c>
      <c r="Z671" t="n">
        <v>110</v>
      </c>
      <c r="AA671" t="n">
        <v>115</v>
      </c>
      <c r="AB671" t="n">
        <v>1</v>
      </c>
      <c r="AC671" t="n">
        <v>1</v>
      </c>
      <c r="AD671" t="n">
        <v>7</v>
      </c>
      <c r="AE671" t="n">
        <v>7</v>
      </c>
      <c r="AF671" t="n">
        <v>1</v>
      </c>
      <c r="AG671" t="n">
        <v>1</v>
      </c>
      <c r="AH671" t="n">
        <v>3</v>
      </c>
      <c r="AI671" t="n">
        <v>3</v>
      </c>
      <c r="AJ671" t="n">
        <v>5</v>
      </c>
      <c r="AK671" t="n">
        <v>5</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HYPERLINK("https://creighton-primo.hosted.exlibrisgroup.com/primo-explore/search?tab=default_tab&amp;search_scope=EVERYTHING&amp;vid=01CRU&amp;lang=en_US&amp;offset=0&amp;query=any,contains,991004517149702656","Catalog Record")</f>
        <v/>
      </c>
      <c r="AT671">
        <f>HYPERLINK("http://www.worldcat.org/oclc/50272470","WorldCat Record")</f>
        <v/>
      </c>
      <c r="AU671" t="inlineStr">
        <is>
          <t>6278521:eng</t>
        </is>
      </c>
      <c r="AV671" t="inlineStr">
        <is>
          <t>50272470</t>
        </is>
      </c>
      <c r="AW671" t="inlineStr">
        <is>
          <t>991004517149702656</t>
        </is>
      </c>
      <c r="AX671" t="inlineStr">
        <is>
          <t>991004517149702656</t>
        </is>
      </c>
      <c r="AY671" t="inlineStr">
        <is>
          <t>2259847780002656</t>
        </is>
      </c>
      <c r="AZ671" t="inlineStr">
        <is>
          <t>BOOK</t>
        </is>
      </c>
      <c r="BB671" t="inlineStr">
        <is>
          <t>9780787964207</t>
        </is>
      </c>
      <c r="BC671" t="inlineStr">
        <is>
          <t>32285005049084</t>
        </is>
      </c>
      <c r="BD671" t="inlineStr">
        <is>
          <t>893722475</t>
        </is>
      </c>
    </row>
    <row r="672">
      <c r="A672" t="inlineStr">
        <is>
          <t>No</t>
        </is>
      </c>
      <c r="B672" t="inlineStr">
        <is>
          <t>BV4597.565 .W45 2000</t>
        </is>
      </c>
      <c r="C672" t="inlineStr">
        <is>
          <t>0                      BV 4597565W  45          2000</t>
        </is>
      </c>
      <c r="D672" t="inlineStr">
        <is>
          <t>Behold your life : a pilgrimage through your memories / Macrina Wiederkehr.</t>
        </is>
      </c>
      <c r="F672" t="inlineStr">
        <is>
          <t>No</t>
        </is>
      </c>
      <c r="G672" t="inlineStr">
        <is>
          <t>1</t>
        </is>
      </c>
      <c r="H672" t="inlineStr">
        <is>
          <t>No</t>
        </is>
      </c>
      <c r="I672" t="inlineStr">
        <is>
          <t>No</t>
        </is>
      </c>
      <c r="J672" t="inlineStr">
        <is>
          <t>0</t>
        </is>
      </c>
      <c r="K672" t="inlineStr">
        <is>
          <t>Wiederkehr, Macrina.</t>
        </is>
      </c>
      <c r="L672" t="inlineStr">
        <is>
          <t>Notre Dame, IN : Ave Maria Press, 2000.</t>
        </is>
      </c>
      <c r="M672" t="inlineStr">
        <is>
          <t>2000</t>
        </is>
      </c>
      <c r="O672" t="inlineStr">
        <is>
          <t>eng</t>
        </is>
      </c>
      <c r="P672" t="inlineStr">
        <is>
          <t>inu</t>
        </is>
      </c>
      <c r="R672" t="inlineStr">
        <is>
          <t xml:space="preserve">BV </t>
        </is>
      </c>
      <c r="S672" t="n">
        <v>1</v>
      </c>
      <c r="T672" t="n">
        <v>1</v>
      </c>
      <c r="U672" t="inlineStr">
        <is>
          <t>2004-03-17</t>
        </is>
      </c>
      <c r="V672" t="inlineStr">
        <is>
          <t>2004-03-17</t>
        </is>
      </c>
      <c r="W672" t="inlineStr">
        <is>
          <t>2004-03-17</t>
        </is>
      </c>
      <c r="X672" t="inlineStr">
        <is>
          <t>2004-03-17</t>
        </is>
      </c>
      <c r="Y672" t="n">
        <v>53</v>
      </c>
      <c r="Z672" t="n">
        <v>48</v>
      </c>
      <c r="AA672" t="n">
        <v>53</v>
      </c>
      <c r="AB672" t="n">
        <v>1</v>
      </c>
      <c r="AC672" t="n">
        <v>1</v>
      </c>
      <c r="AD672" t="n">
        <v>3</v>
      </c>
      <c r="AE672" t="n">
        <v>3</v>
      </c>
      <c r="AF672" t="n">
        <v>0</v>
      </c>
      <c r="AG672" t="n">
        <v>0</v>
      </c>
      <c r="AH672" t="n">
        <v>1</v>
      </c>
      <c r="AI672" t="n">
        <v>1</v>
      </c>
      <c r="AJ672" t="n">
        <v>2</v>
      </c>
      <c r="AK672" t="n">
        <v>2</v>
      </c>
      <c r="AL672" t="n">
        <v>0</v>
      </c>
      <c r="AM672" t="n">
        <v>0</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HYPERLINK("https://creighton-primo.hosted.exlibrisgroup.com/primo-explore/search?tab=default_tab&amp;search_scope=EVERYTHING&amp;vid=01CRU&amp;lang=en_US&amp;offset=0&amp;query=any,contains,991004263819702656","Catalog Record")</f>
        <v/>
      </c>
      <c r="AT672">
        <f>HYPERLINK("http://www.worldcat.org/oclc/42652553","WorldCat Record")</f>
        <v/>
      </c>
      <c r="AU672" t="inlineStr">
        <is>
          <t>27517461:eng</t>
        </is>
      </c>
      <c r="AV672" t="inlineStr">
        <is>
          <t>42652553</t>
        </is>
      </c>
      <c r="AW672" t="inlineStr">
        <is>
          <t>991004263819702656</t>
        </is>
      </c>
      <c r="AX672" t="inlineStr">
        <is>
          <t>991004263819702656</t>
        </is>
      </c>
      <c r="AY672" t="inlineStr">
        <is>
          <t>2269721560002656</t>
        </is>
      </c>
      <c r="AZ672" t="inlineStr">
        <is>
          <t>BOOK</t>
        </is>
      </c>
      <c r="BB672" t="inlineStr">
        <is>
          <t>9780877939313</t>
        </is>
      </c>
      <c r="BC672" t="inlineStr">
        <is>
          <t>32285004894795</t>
        </is>
      </c>
      <c r="BD672" t="inlineStr">
        <is>
          <t>893513025</t>
        </is>
      </c>
    </row>
    <row r="673">
      <c r="A673" t="inlineStr">
        <is>
          <t>No</t>
        </is>
      </c>
      <c r="B673" t="inlineStr">
        <is>
          <t>BV4598.4 .S57 2000</t>
        </is>
      </c>
      <c r="C673" t="inlineStr">
        <is>
          <t>0                      BV 4598400S  57          2000</t>
        </is>
      </c>
      <c r="D673" t="inlineStr">
        <is>
          <t>Habits of the mind : intellectual life as a Christian calling / James W. Sire.</t>
        </is>
      </c>
      <c r="F673" t="inlineStr">
        <is>
          <t>No</t>
        </is>
      </c>
      <c r="G673" t="inlineStr">
        <is>
          <t>1</t>
        </is>
      </c>
      <c r="H673" t="inlineStr">
        <is>
          <t>No</t>
        </is>
      </c>
      <c r="I673" t="inlineStr">
        <is>
          <t>No</t>
        </is>
      </c>
      <c r="J673" t="inlineStr">
        <is>
          <t>0</t>
        </is>
      </c>
      <c r="K673" t="inlineStr">
        <is>
          <t>Sire, James W.</t>
        </is>
      </c>
      <c r="L673" t="inlineStr">
        <is>
          <t>Downers Grove, Ill. : InterVarsity Press, c2000.</t>
        </is>
      </c>
      <c r="M673" t="inlineStr">
        <is>
          <t>2000</t>
        </is>
      </c>
      <c r="O673" t="inlineStr">
        <is>
          <t>eng</t>
        </is>
      </c>
      <c r="P673" t="inlineStr">
        <is>
          <t>ilu</t>
        </is>
      </c>
      <c r="R673" t="inlineStr">
        <is>
          <t xml:space="preserve">BV </t>
        </is>
      </c>
      <c r="S673" t="n">
        <v>1</v>
      </c>
      <c r="T673" t="n">
        <v>1</v>
      </c>
      <c r="U673" t="inlineStr">
        <is>
          <t>2006-05-30</t>
        </is>
      </c>
      <c r="V673" t="inlineStr">
        <is>
          <t>2006-05-30</t>
        </is>
      </c>
      <c r="W673" t="inlineStr">
        <is>
          <t>2006-05-30</t>
        </is>
      </c>
      <c r="X673" t="inlineStr">
        <is>
          <t>2006-05-30</t>
        </is>
      </c>
      <c r="Y673" t="n">
        <v>399</v>
      </c>
      <c r="Z673" t="n">
        <v>356</v>
      </c>
      <c r="AA673" t="n">
        <v>527</v>
      </c>
      <c r="AB673" t="n">
        <v>5</v>
      </c>
      <c r="AC673" t="n">
        <v>7</v>
      </c>
      <c r="AD673" t="n">
        <v>16</v>
      </c>
      <c r="AE673" t="n">
        <v>23</v>
      </c>
      <c r="AF673" t="n">
        <v>5</v>
      </c>
      <c r="AG673" t="n">
        <v>8</v>
      </c>
      <c r="AH673" t="n">
        <v>2</v>
      </c>
      <c r="AI673" t="n">
        <v>5</v>
      </c>
      <c r="AJ673" t="n">
        <v>6</v>
      </c>
      <c r="AK673" t="n">
        <v>7</v>
      </c>
      <c r="AL673" t="n">
        <v>4</v>
      </c>
      <c r="AM673" t="n">
        <v>6</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HYPERLINK("https://creighton-primo.hosted.exlibrisgroup.com/primo-explore/search?tab=default_tab&amp;search_scope=EVERYTHING&amp;vid=01CRU&amp;lang=en_US&amp;offset=0&amp;query=any,contains,991004780789702656","Catalog Record")</f>
        <v/>
      </c>
      <c r="AT673">
        <f>HYPERLINK("http://www.worldcat.org/oclc/44313319","WorldCat Record")</f>
        <v/>
      </c>
      <c r="AU673" t="inlineStr">
        <is>
          <t>836953567:eng</t>
        </is>
      </c>
      <c r="AV673" t="inlineStr">
        <is>
          <t>44313319</t>
        </is>
      </c>
      <c r="AW673" t="inlineStr">
        <is>
          <t>991004780789702656</t>
        </is>
      </c>
      <c r="AX673" t="inlineStr">
        <is>
          <t>991004780789702656</t>
        </is>
      </c>
      <c r="AY673" t="inlineStr">
        <is>
          <t>2257167190002656</t>
        </is>
      </c>
      <c r="AZ673" t="inlineStr">
        <is>
          <t>BOOK</t>
        </is>
      </c>
      <c r="BB673" t="inlineStr">
        <is>
          <t>9780830822737</t>
        </is>
      </c>
      <c r="BC673" t="inlineStr">
        <is>
          <t>32285005189799</t>
        </is>
      </c>
      <c r="BD673" t="inlineStr">
        <is>
          <t>893344250</t>
        </is>
      </c>
    </row>
    <row r="674">
      <c r="A674" t="inlineStr">
        <is>
          <t>No</t>
        </is>
      </c>
      <c r="B674" t="inlineStr">
        <is>
          <t>BV460 .S58</t>
        </is>
      </c>
      <c r="C674" t="inlineStr">
        <is>
          <t>0                      BV 0460000S  58</t>
        </is>
      </c>
      <c r="D674" t="inlineStr">
        <is>
          <t>Gospel hymns and social religion : the rhetoric of nineteenth-century revivalism / Sandra S. Sizer.</t>
        </is>
      </c>
      <c r="F674" t="inlineStr">
        <is>
          <t>No</t>
        </is>
      </c>
      <c r="G674" t="inlineStr">
        <is>
          <t>1</t>
        </is>
      </c>
      <c r="H674" t="inlineStr">
        <is>
          <t>No</t>
        </is>
      </c>
      <c r="I674" t="inlineStr">
        <is>
          <t>No</t>
        </is>
      </c>
      <c r="J674" t="inlineStr">
        <is>
          <t>0</t>
        </is>
      </c>
      <c r="K674" t="inlineStr">
        <is>
          <t>Frankiel, Tamar, 1946-</t>
        </is>
      </c>
      <c r="L674" t="inlineStr">
        <is>
          <t>Philadelphia : Temple University Press, c1978.</t>
        </is>
      </c>
      <c r="M674" t="inlineStr">
        <is>
          <t>1978</t>
        </is>
      </c>
      <c r="O674" t="inlineStr">
        <is>
          <t>eng</t>
        </is>
      </c>
      <c r="P674" t="inlineStr">
        <is>
          <t>pau</t>
        </is>
      </c>
      <c r="Q674" t="inlineStr">
        <is>
          <t>American civilization</t>
        </is>
      </c>
      <c r="R674" t="inlineStr">
        <is>
          <t xml:space="preserve">BV </t>
        </is>
      </c>
      <c r="S674" t="n">
        <v>1</v>
      </c>
      <c r="T674" t="n">
        <v>1</v>
      </c>
      <c r="U674" t="inlineStr">
        <is>
          <t>1993-08-11</t>
        </is>
      </c>
      <c r="V674" t="inlineStr">
        <is>
          <t>1993-08-11</t>
        </is>
      </c>
      <c r="W674" t="inlineStr">
        <is>
          <t>1992-01-08</t>
        </is>
      </c>
      <c r="X674" t="inlineStr">
        <is>
          <t>1992-01-08</t>
        </is>
      </c>
      <c r="Y674" t="n">
        <v>702</v>
      </c>
      <c r="Z674" t="n">
        <v>637</v>
      </c>
      <c r="AA674" t="n">
        <v>643</v>
      </c>
      <c r="AB674" t="n">
        <v>3</v>
      </c>
      <c r="AC674" t="n">
        <v>3</v>
      </c>
      <c r="AD674" t="n">
        <v>29</v>
      </c>
      <c r="AE674" t="n">
        <v>29</v>
      </c>
      <c r="AF674" t="n">
        <v>14</v>
      </c>
      <c r="AG674" t="n">
        <v>14</v>
      </c>
      <c r="AH674" t="n">
        <v>6</v>
      </c>
      <c r="AI674" t="n">
        <v>6</v>
      </c>
      <c r="AJ674" t="n">
        <v>12</v>
      </c>
      <c r="AK674" t="n">
        <v>12</v>
      </c>
      <c r="AL674" t="n">
        <v>2</v>
      </c>
      <c r="AM674" t="n">
        <v>2</v>
      </c>
      <c r="AN674" t="n">
        <v>0</v>
      </c>
      <c r="AO674" t="n">
        <v>0</v>
      </c>
      <c r="AP674" t="inlineStr">
        <is>
          <t>No</t>
        </is>
      </c>
      <c r="AQ674" t="inlineStr">
        <is>
          <t>Yes</t>
        </is>
      </c>
      <c r="AR674">
        <f>HYPERLINK("http://catalog.hathitrust.org/Record/000256500","HathiTrust Record")</f>
        <v/>
      </c>
      <c r="AS674">
        <f>HYPERLINK("https://creighton-primo.hosted.exlibrisgroup.com/primo-explore/search?tab=default_tab&amp;search_scope=EVERYTHING&amp;vid=01CRU&amp;lang=en_US&amp;offset=0&amp;query=any,contains,991004660419702656","Catalog Record")</f>
        <v/>
      </c>
      <c r="AT674">
        <f>HYPERLINK("http://www.worldcat.org/oclc/4496597","WorldCat Record")</f>
        <v/>
      </c>
      <c r="AU674" t="inlineStr">
        <is>
          <t>981795636:eng</t>
        </is>
      </c>
      <c r="AV674" t="inlineStr">
        <is>
          <t>4496597</t>
        </is>
      </c>
      <c r="AW674" t="inlineStr">
        <is>
          <t>991004660419702656</t>
        </is>
      </c>
      <c r="AX674" t="inlineStr">
        <is>
          <t>991004660419702656</t>
        </is>
      </c>
      <c r="AY674" t="inlineStr">
        <is>
          <t>2268662030002656</t>
        </is>
      </c>
      <c r="AZ674" t="inlineStr">
        <is>
          <t>BOOK</t>
        </is>
      </c>
      <c r="BB674" t="inlineStr">
        <is>
          <t>9780877221418</t>
        </is>
      </c>
      <c r="BC674" t="inlineStr">
        <is>
          <t>32285000902345</t>
        </is>
      </c>
      <c r="BD674" t="inlineStr">
        <is>
          <t>893618931</t>
        </is>
      </c>
    </row>
    <row r="675">
      <c r="A675" t="inlineStr">
        <is>
          <t>No</t>
        </is>
      </c>
      <c r="B675" t="inlineStr">
        <is>
          <t>BV4612 .W3 1965</t>
        </is>
      </c>
      <c r="C675" t="inlineStr">
        <is>
          <t>0                      BV 4612000W  3           1965</t>
        </is>
      </c>
      <c r="D675" t="inlineStr">
        <is>
          <t>A new introduction to moral theology / Herbert Waddams.</t>
        </is>
      </c>
      <c r="F675" t="inlineStr">
        <is>
          <t>No</t>
        </is>
      </c>
      <c r="G675" t="inlineStr">
        <is>
          <t>1</t>
        </is>
      </c>
      <c r="H675" t="inlineStr">
        <is>
          <t>No</t>
        </is>
      </c>
      <c r="I675" t="inlineStr">
        <is>
          <t>No</t>
        </is>
      </c>
      <c r="J675" t="inlineStr">
        <is>
          <t>0</t>
        </is>
      </c>
      <c r="K675" t="inlineStr">
        <is>
          <t>Waddams, Herbert (Herbert Montague)</t>
        </is>
      </c>
      <c r="L675" t="inlineStr">
        <is>
          <t>New York, Seabury Press [1965, c1964]</t>
        </is>
      </c>
      <c r="M675" t="inlineStr">
        <is>
          <t>1965</t>
        </is>
      </c>
      <c r="O675" t="inlineStr">
        <is>
          <t>eng</t>
        </is>
      </c>
      <c r="P675" t="inlineStr">
        <is>
          <t>___</t>
        </is>
      </c>
      <c r="Q675" t="inlineStr">
        <is>
          <t>A Seabury paperback, SP22</t>
        </is>
      </c>
      <c r="R675" t="inlineStr">
        <is>
          <t xml:space="preserve">BV </t>
        </is>
      </c>
      <c r="S675" t="n">
        <v>3</v>
      </c>
      <c r="T675" t="n">
        <v>3</v>
      </c>
      <c r="U675" t="inlineStr">
        <is>
          <t>1998-06-14</t>
        </is>
      </c>
      <c r="V675" t="inlineStr">
        <is>
          <t>1998-06-14</t>
        </is>
      </c>
      <c r="W675" t="inlineStr">
        <is>
          <t>1992-02-28</t>
        </is>
      </c>
      <c r="X675" t="inlineStr">
        <is>
          <t>1992-02-28</t>
        </is>
      </c>
      <c r="Y675" t="n">
        <v>184</v>
      </c>
      <c r="Z675" t="n">
        <v>172</v>
      </c>
      <c r="AA675" t="n">
        <v>253</v>
      </c>
      <c r="AB675" t="n">
        <v>2</v>
      </c>
      <c r="AC675" t="n">
        <v>2</v>
      </c>
      <c r="AD675" t="n">
        <v>11</v>
      </c>
      <c r="AE675" t="n">
        <v>14</v>
      </c>
      <c r="AF675" t="n">
        <v>4</v>
      </c>
      <c r="AG675" t="n">
        <v>5</v>
      </c>
      <c r="AH675" t="n">
        <v>2</v>
      </c>
      <c r="AI675" t="n">
        <v>3</v>
      </c>
      <c r="AJ675" t="n">
        <v>7</v>
      </c>
      <c r="AK675" t="n">
        <v>9</v>
      </c>
      <c r="AL675" t="n">
        <v>1</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HYPERLINK("https://creighton-primo.hosted.exlibrisgroup.com/primo-explore/search?tab=default_tab&amp;search_scope=EVERYTHING&amp;vid=01CRU&amp;lang=en_US&amp;offset=0&amp;query=any,contains,991002649639702656","Catalog Record")</f>
        <v/>
      </c>
      <c r="AT675">
        <f>HYPERLINK("http://www.worldcat.org/oclc/386705","WorldCat Record")</f>
        <v/>
      </c>
      <c r="AU675" t="inlineStr">
        <is>
          <t>1512272:eng</t>
        </is>
      </c>
      <c r="AV675" t="inlineStr">
        <is>
          <t>386705</t>
        </is>
      </c>
      <c r="AW675" t="inlineStr">
        <is>
          <t>991002649639702656</t>
        </is>
      </c>
      <c r="AX675" t="inlineStr">
        <is>
          <t>991002649639702656</t>
        </is>
      </c>
      <c r="AY675" t="inlineStr">
        <is>
          <t>2259532810002656</t>
        </is>
      </c>
      <c r="AZ675" t="inlineStr">
        <is>
          <t>BOOK</t>
        </is>
      </c>
      <c r="BC675" t="inlineStr">
        <is>
          <t>32285000967496</t>
        </is>
      </c>
      <c r="BD675" t="inlineStr">
        <is>
          <t>893710511</t>
        </is>
      </c>
    </row>
    <row r="676">
      <c r="A676" t="inlineStr">
        <is>
          <t>No</t>
        </is>
      </c>
      <c r="B676" t="inlineStr">
        <is>
          <t>BV4615 .C66</t>
        </is>
      </c>
      <c r="C676" t="inlineStr">
        <is>
          <t>0                      BV 4615000C  66</t>
        </is>
      </c>
      <c r="D676" t="inlineStr">
        <is>
          <t>Conscience--development and self-transcendence / Walter E. Conn.</t>
        </is>
      </c>
      <c r="F676" t="inlineStr">
        <is>
          <t>No</t>
        </is>
      </c>
      <c r="G676" t="inlineStr">
        <is>
          <t>1</t>
        </is>
      </c>
      <c r="H676" t="inlineStr">
        <is>
          <t>No</t>
        </is>
      </c>
      <c r="I676" t="inlineStr">
        <is>
          <t>No</t>
        </is>
      </c>
      <c r="J676" t="inlineStr">
        <is>
          <t>0</t>
        </is>
      </c>
      <c r="K676" t="inlineStr">
        <is>
          <t>Conn, Walter E.</t>
        </is>
      </c>
      <c r="L676" t="inlineStr">
        <is>
          <t>Birmingham, Ala. : Religious Education Press, [1981]</t>
        </is>
      </c>
      <c r="M676" t="inlineStr">
        <is>
          <t>1981</t>
        </is>
      </c>
      <c r="O676" t="inlineStr">
        <is>
          <t>eng</t>
        </is>
      </c>
      <c r="P676" t="inlineStr">
        <is>
          <t>alu</t>
        </is>
      </c>
      <c r="R676" t="inlineStr">
        <is>
          <t xml:space="preserve">BV </t>
        </is>
      </c>
      <c r="S676" t="n">
        <v>3</v>
      </c>
      <c r="T676" t="n">
        <v>3</v>
      </c>
      <c r="U676" t="inlineStr">
        <is>
          <t>2004-02-24</t>
        </is>
      </c>
      <c r="V676" t="inlineStr">
        <is>
          <t>2004-02-24</t>
        </is>
      </c>
      <c r="W676" t="inlineStr">
        <is>
          <t>1992-03-02</t>
        </is>
      </c>
      <c r="X676" t="inlineStr">
        <is>
          <t>1992-03-02</t>
        </is>
      </c>
      <c r="Y676" t="n">
        <v>402</v>
      </c>
      <c r="Z676" t="n">
        <v>344</v>
      </c>
      <c r="AA676" t="n">
        <v>356</v>
      </c>
      <c r="AB676" t="n">
        <v>4</v>
      </c>
      <c r="AC676" t="n">
        <v>4</v>
      </c>
      <c r="AD676" t="n">
        <v>32</v>
      </c>
      <c r="AE676" t="n">
        <v>32</v>
      </c>
      <c r="AF676" t="n">
        <v>12</v>
      </c>
      <c r="AG676" t="n">
        <v>12</v>
      </c>
      <c r="AH676" t="n">
        <v>7</v>
      </c>
      <c r="AI676" t="n">
        <v>7</v>
      </c>
      <c r="AJ676" t="n">
        <v>20</v>
      </c>
      <c r="AK676" t="n">
        <v>20</v>
      </c>
      <c r="AL676" t="n">
        <v>3</v>
      </c>
      <c r="AM676" t="n">
        <v>3</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HYPERLINK("https://creighton-primo.hosted.exlibrisgroup.com/primo-explore/search?tab=default_tab&amp;search_scope=EVERYTHING&amp;vid=01CRU&amp;lang=en_US&amp;offset=0&amp;query=any,contains,991005011019702656","Catalog Record")</f>
        <v/>
      </c>
      <c r="AT676">
        <f>HYPERLINK("http://www.worldcat.org/oclc/6602821","WorldCat Record")</f>
        <v/>
      </c>
      <c r="AU676" t="inlineStr">
        <is>
          <t>22704838:eng</t>
        </is>
      </c>
      <c r="AV676" t="inlineStr">
        <is>
          <t>6602821</t>
        </is>
      </c>
      <c r="AW676" t="inlineStr">
        <is>
          <t>991005011019702656</t>
        </is>
      </c>
      <c r="AX676" t="inlineStr">
        <is>
          <t>991005011019702656</t>
        </is>
      </c>
      <c r="AY676" t="inlineStr">
        <is>
          <t>2255663620002656</t>
        </is>
      </c>
      <c r="AZ676" t="inlineStr">
        <is>
          <t>BOOK</t>
        </is>
      </c>
      <c r="BB676" t="inlineStr">
        <is>
          <t>9780891350255</t>
        </is>
      </c>
      <c r="BC676" t="inlineStr">
        <is>
          <t>32285000967512</t>
        </is>
      </c>
      <c r="BD676" t="inlineStr">
        <is>
          <t>893776691</t>
        </is>
      </c>
    </row>
    <row r="677">
      <c r="A677" t="inlineStr">
        <is>
          <t>No</t>
        </is>
      </c>
      <c r="B677" t="inlineStr">
        <is>
          <t>BV4625 .L54</t>
        </is>
      </c>
      <c r="C677" t="inlineStr">
        <is>
          <t>0                      BV 4625000L  54</t>
        </is>
      </c>
      <c r="D677" t="inlineStr">
        <is>
          <t>Sin comes of age / by Duncan E. Littlefair.</t>
        </is>
      </c>
      <c r="F677" t="inlineStr">
        <is>
          <t>No</t>
        </is>
      </c>
      <c r="G677" t="inlineStr">
        <is>
          <t>1</t>
        </is>
      </c>
      <c r="H677" t="inlineStr">
        <is>
          <t>No</t>
        </is>
      </c>
      <c r="I677" t="inlineStr">
        <is>
          <t>No</t>
        </is>
      </c>
      <c r="J677" t="inlineStr">
        <is>
          <t>0</t>
        </is>
      </c>
      <c r="K677" t="inlineStr">
        <is>
          <t>Littlefair, Duncan E. (Duncan Elliot), 1912-</t>
        </is>
      </c>
      <c r="L677" t="inlineStr">
        <is>
          <t>Philadelphia : Westminster Press, [1975]</t>
        </is>
      </c>
      <c r="M677" t="inlineStr">
        <is>
          <t>1975</t>
        </is>
      </c>
      <c r="O677" t="inlineStr">
        <is>
          <t>eng</t>
        </is>
      </c>
      <c r="P677" t="inlineStr">
        <is>
          <t>pau</t>
        </is>
      </c>
      <c r="R677" t="inlineStr">
        <is>
          <t xml:space="preserve">BV </t>
        </is>
      </c>
      <c r="S677" t="n">
        <v>2</v>
      </c>
      <c r="T677" t="n">
        <v>2</v>
      </c>
      <c r="U677" t="inlineStr">
        <is>
          <t>2002-02-17</t>
        </is>
      </c>
      <c r="V677" t="inlineStr">
        <is>
          <t>2002-02-17</t>
        </is>
      </c>
      <c r="W677" t="inlineStr">
        <is>
          <t>1992-03-02</t>
        </is>
      </c>
      <c r="X677" t="inlineStr">
        <is>
          <t>1992-03-02</t>
        </is>
      </c>
      <c r="Y677" t="n">
        <v>145</v>
      </c>
      <c r="Z677" t="n">
        <v>136</v>
      </c>
      <c r="AA677" t="n">
        <v>142</v>
      </c>
      <c r="AB677" t="n">
        <v>2</v>
      </c>
      <c r="AC677" t="n">
        <v>2</v>
      </c>
      <c r="AD677" t="n">
        <v>5</v>
      </c>
      <c r="AE677" t="n">
        <v>5</v>
      </c>
      <c r="AF677" t="n">
        <v>3</v>
      </c>
      <c r="AG677" t="n">
        <v>3</v>
      </c>
      <c r="AH677" t="n">
        <v>0</v>
      </c>
      <c r="AI677" t="n">
        <v>0</v>
      </c>
      <c r="AJ677" t="n">
        <v>3</v>
      </c>
      <c r="AK677" t="n">
        <v>3</v>
      </c>
      <c r="AL677" t="n">
        <v>1</v>
      </c>
      <c r="AM677" t="n">
        <v>1</v>
      </c>
      <c r="AN677" t="n">
        <v>0</v>
      </c>
      <c r="AO677" t="n">
        <v>0</v>
      </c>
      <c r="AP677" t="inlineStr">
        <is>
          <t>No</t>
        </is>
      </c>
      <c r="AQ677" t="inlineStr">
        <is>
          <t>Yes</t>
        </is>
      </c>
      <c r="AR677">
        <f>HYPERLINK("http://catalog.hathitrust.org/Record/006019426","HathiTrust Record")</f>
        <v/>
      </c>
      <c r="AS677">
        <f>HYPERLINK("https://creighton-primo.hosted.exlibrisgroup.com/primo-explore/search?tab=default_tab&amp;search_scope=EVERYTHING&amp;vid=01CRU&amp;lang=en_US&amp;offset=0&amp;query=any,contains,991003808639702656","Catalog Record")</f>
        <v/>
      </c>
      <c r="AT677">
        <f>HYPERLINK("http://www.worldcat.org/oclc/1532028","WorldCat Record")</f>
        <v/>
      </c>
      <c r="AU677" t="inlineStr">
        <is>
          <t>2286408394:eng</t>
        </is>
      </c>
      <c r="AV677" t="inlineStr">
        <is>
          <t>1532028</t>
        </is>
      </c>
      <c r="AW677" t="inlineStr">
        <is>
          <t>991003808639702656</t>
        </is>
      </c>
      <c r="AX677" t="inlineStr">
        <is>
          <t>991003808639702656</t>
        </is>
      </c>
      <c r="AY677" t="inlineStr">
        <is>
          <t>2272163930002656</t>
        </is>
      </c>
      <c r="AZ677" t="inlineStr">
        <is>
          <t>BOOK</t>
        </is>
      </c>
      <c r="BB677" t="inlineStr">
        <is>
          <t>9780664208073</t>
        </is>
      </c>
      <c r="BC677" t="inlineStr">
        <is>
          <t>32285000967553</t>
        </is>
      </c>
      <c r="BD677" t="inlineStr">
        <is>
          <t>893868898</t>
        </is>
      </c>
    </row>
    <row r="678">
      <c r="A678" t="inlineStr">
        <is>
          <t>No</t>
        </is>
      </c>
      <c r="B678" t="inlineStr">
        <is>
          <t>BV4625 .M46</t>
        </is>
      </c>
      <c r="C678" t="inlineStr">
        <is>
          <t>0                      BV 4625000M  46</t>
        </is>
      </c>
      <c r="D678" t="inlineStr">
        <is>
          <t>Whatever became of sin? / Karl Menninger.</t>
        </is>
      </c>
      <c r="F678" t="inlineStr">
        <is>
          <t>No</t>
        </is>
      </c>
      <c r="G678" t="inlineStr">
        <is>
          <t>1</t>
        </is>
      </c>
      <c r="H678" t="inlineStr">
        <is>
          <t>No</t>
        </is>
      </c>
      <c r="I678" t="inlineStr">
        <is>
          <t>No</t>
        </is>
      </c>
      <c r="J678" t="inlineStr">
        <is>
          <t>0</t>
        </is>
      </c>
      <c r="K678" t="inlineStr">
        <is>
          <t>Menninger, Karl A. (Karl Augustus), 1893-1990.</t>
        </is>
      </c>
      <c r="L678" t="inlineStr">
        <is>
          <t>New York, Hawthorn Books [1973]</t>
        </is>
      </c>
      <c r="M678" t="inlineStr">
        <is>
          <t>1973</t>
        </is>
      </c>
      <c r="O678" t="inlineStr">
        <is>
          <t>eng</t>
        </is>
      </c>
      <c r="P678" t="inlineStr">
        <is>
          <t>nyu</t>
        </is>
      </c>
      <c r="R678" t="inlineStr">
        <is>
          <t xml:space="preserve">BV </t>
        </is>
      </c>
      <c r="S678" t="n">
        <v>9</v>
      </c>
      <c r="T678" t="n">
        <v>9</v>
      </c>
      <c r="U678" t="inlineStr">
        <is>
          <t>1999-02-25</t>
        </is>
      </c>
      <c r="V678" t="inlineStr">
        <is>
          <t>1999-02-25</t>
        </is>
      </c>
      <c r="W678" t="inlineStr">
        <is>
          <t>1992-03-02</t>
        </is>
      </c>
      <c r="X678" t="inlineStr">
        <is>
          <t>1992-03-02</t>
        </is>
      </c>
      <c r="Y678" t="n">
        <v>1972</v>
      </c>
      <c r="Z678" t="n">
        <v>1844</v>
      </c>
      <c r="AA678" t="n">
        <v>1895</v>
      </c>
      <c r="AB678" t="n">
        <v>18</v>
      </c>
      <c r="AC678" t="n">
        <v>18</v>
      </c>
      <c r="AD678" t="n">
        <v>61</v>
      </c>
      <c r="AE678" t="n">
        <v>61</v>
      </c>
      <c r="AF678" t="n">
        <v>25</v>
      </c>
      <c r="AG678" t="n">
        <v>25</v>
      </c>
      <c r="AH678" t="n">
        <v>11</v>
      </c>
      <c r="AI678" t="n">
        <v>11</v>
      </c>
      <c r="AJ678" t="n">
        <v>26</v>
      </c>
      <c r="AK678" t="n">
        <v>26</v>
      </c>
      <c r="AL678" t="n">
        <v>11</v>
      </c>
      <c r="AM678" t="n">
        <v>11</v>
      </c>
      <c r="AN678" t="n">
        <v>2</v>
      </c>
      <c r="AO678" t="n">
        <v>2</v>
      </c>
      <c r="AP678" t="inlineStr">
        <is>
          <t>No</t>
        </is>
      </c>
      <c r="AQ678" t="inlineStr">
        <is>
          <t>Yes</t>
        </is>
      </c>
      <c r="AR678">
        <f>HYPERLINK("http://catalog.hathitrust.org/Record/000012314","HathiTrust Record")</f>
        <v/>
      </c>
      <c r="AS678">
        <f>HYPERLINK("https://creighton-primo.hosted.exlibrisgroup.com/primo-explore/search?tab=default_tab&amp;search_scope=EVERYTHING&amp;vid=01CRU&amp;lang=en_US&amp;offset=0&amp;query=any,contains,991003290999702656","Catalog Record")</f>
        <v/>
      </c>
      <c r="AT678">
        <f>HYPERLINK("http://www.worldcat.org/oclc/813140","WorldCat Record")</f>
        <v/>
      </c>
      <c r="AU678" t="inlineStr">
        <is>
          <t>103208301:eng</t>
        </is>
      </c>
      <c r="AV678" t="inlineStr">
        <is>
          <t>813140</t>
        </is>
      </c>
      <c r="AW678" t="inlineStr">
        <is>
          <t>991003290999702656</t>
        </is>
      </c>
      <c r="AX678" t="inlineStr">
        <is>
          <t>991003290999702656</t>
        </is>
      </c>
      <c r="AY678" t="inlineStr">
        <is>
          <t>2267335660002656</t>
        </is>
      </c>
      <c r="AZ678" t="inlineStr">
        <is>
          <t>BOOK</t>
        </is>
      </c>
      <c r="BB678" t="inlineStr">
        <is>
          <t>9780801585548</t>
        </is>
      </c>
      <c r="BC678" t="inlineStr">
        <is>
          <t>32285000967561</t>
        </is>
      </c>
      <c r="BD678" t="inlineStr">
        <is>
          <t>893323953</t>
        </is>
      </c>
    </row>
    <row r="679">
      <c r="A679" t="inlineStr">
        <is>
          <t>No</t>
        </is>
      </c>
      <c r="B679" t="inlineStr">
        <is>
          <t>BV4626 .B46</t>
        </is>
      </c>
      <c r="C679" t="inlineStr">
        <is>
          <t>0                      BV 4626000B  46</t>
        </is>
      </c>
      <c r="D679" t="inlineStr">
        <is>
          <t>The seven deadly sins : an introduction to the history of a religious concept, with special reference to medieval English literature / by Morton W. Bloomfield.</t>
        </is>
      </c>
      <c r="F679" t="inlineStr">
        <is>
          <t>No</t>
        </is>
      </c>
      <c r="G679" t="inlineStr">
        <is>
          <t>1</t>
        </is>
      </c>
      <c r="H679" t="inlineStr">
        <is>
          <t>No</t>
        </is>
      </c>
      <c r="I679" t="inlineStr">
        <is>
          <t>No</t>
        </is>
      </c>
      <c r="J679" t="inlineStr">
        <is>
          <t>0</t>
        </is>
      </c>
      <c r="K679" t="inlineStr">
        <is>
          <t>Bloomfield, Morton W. (Morton Wilfred), 1913-1987.</t>
        </is>
      </c>
      <c r="L679" t="inlineStr">
        <is>
          <t>[East Lansing] Michigan State College Press [c1952]</t>
        </is>
      </c>
      <c r="M679" t="inlineStr">
        <is>
          <t>1952</t>
        </is>
      </c>
      <c r="O679" t="inlineStr">
        <is>
          <t>eng</t>
        </is>
      </c>
      <c r="P679" t="inlineStr">
        <is>
          <t>___</t>
        </is>
      </c>
      <c r="Q679" t="inlineStr">
        <is>
          <t>[Michigan. State College of Agriculture and Applied Science, East Lansing] Studies in language and literature</t>
        </is>
      </c>
      <c r="R679" t="inlineStr">
        <is>
          <t xml:space="preserve">BV </t>
        </is>
      </c>
      <c r="S679" t="n">
        <v>7</v>
      </c>
      <c r="T679" t="n">
        <v>7</v>
      </c>
      <c r="U679" t="inlineStr">
        <is>
          <t>2009-11-23</t>
        </is>
      </c>
      <c r="V679" t="inlineStr">
        <is>
          <t>2009-11-23</t>
        </is>
      </c>
      <c r="W679" t="inlineStr">
        <is>
          <t>1992-03-02</t>
        </is>
      </c>
      <c r="X679" t="inlineStr">
        <is>
          <t>1992-03-02</t>
        </is>
      </c>
      <c r="Y679" t="n">
        <v>493</v>
      </c>
      <c r="Z679" t="n">
        <v>413</v>
      </c>
      <c r="AA679" t="n">
        <v>554</v>
      </c>
      <c r="AB679" t="n">
        <v>2</v>
      </c>
      <c r="AC679" t="n">
        <v>3</v>
      </c>
      <c r="AD679" t="n">
        <v>27</v>
      </c>
      <c r="AE679" t="n">
        <v>32</v>
      </c>
      <c r="AF679" t="n">
        <v>10</v>
      </c>
      <c r="AG679" t="n">
        <v>11</v>
      </c>
      <c r="AH679" t="n">
        <v>5</v>
      </c>
      <c r="AI679" t="n">
        <v>7</v>
      </c>
      <c r="AJ679" t="n">
        <v>17</v>
      </c>
      <c r="AK679" t="n">
        <v>19</v>
      </c>
      <c r="AL679" t="n">
        <v>1</v>
      </c>
      <c r="AM679" t="n">
        <v>2</v>
      </c>
      <c r="AN679" t="n">
        <v>0</v>
      </c>
      <c r="AO679" t="n">
        <v>0</v>
      </c>
      <c r="AP679" t="inlineStr">
        <is>
          <t>No</t>
        </is>
      </c>
      <c r="AQ679" t="inlineStr">
        <is>
          <t>Yes</t>
        </is>
      </c>
      <c r="AR679">
        <f>HYPERLINK("http://catalog.hathitrust.org/Record/001414859","HathiTrust Record")</f>
        <v/>
      </c>
      <c r="AS679">
        <f>HYPERLINK("https://creighton-primo.hosted.exlibrisgroup.com/primo-explore/search?tab=default_tab&amp;search_scope=EVERYTHING&amp;vid=01CRU&amp;lang=en_US&amp;offset=0&amp;query=any,contains,991003340119702656","Catalog Record")</f>
        <v/>
      </c>
      <c r="AT679">
        <f>HYPERLINK("http://www.worldcat.org/oclc/870789","WorldCat Record")</f>
        <v/>
      </c>
      <c r="AU679" t="inlineStr">
        <is>
          <t>1841691:eng</t>
        </is>
      </c>
      <c r="AV679" t="inlineStr">
        <is>
          <t>870789</t>
        </is>
      </c>
      <c r="AW679" t="inlineStr">
        <is>
          <t>991003340119702656</t>
        </is>
      </c>
      <c r="AX679" t="inlineStr">
        <is>
          <t>991003340119702656</t>
        </is>
      </c>
      <c r="AY679" t="inlineStr">
        <is>
          <t>2259611220002656</t>
        </is>
      </c>
      <c r="AZ679" t="inlineStr">
        <is>
          <t>BOOK</t>
        </is>
      </c>
      <c r="BC679" t="inlineStr">
        <is>
          <t>32285000967587</t>
        </is>
      </c>
      <c r="BD679" t="inlineStr">
        <is>
          <t>893617258</t>
        </is>
      </c>
    </row>
    <row r="680">
      <c r="A680" t="inlineStr">
        <is>
          <t>No</t>
        </is>
      </c>
      <c r="B680" t="inlineStr">
        <is>
          <t>BV4626 .S86 1962a</t>
        </is>
      </c>
      <c r="C680" t="inlineStr">
        <is>
          <t>0                      BV 4626000S  86          1962a</t>
        </is>
      </c>
      <c r="D680" t="inlineStr">
        <is>
          <t>The seven deadly sins / [by] Angus Wilson [and others]. Special foreword by Ian Fleming. Introd. by Raymond Mortimer.</t>
        </is>
      </c>
      <c r="F680" t="inlineStr">
        <is>
          <t>No</t>
        </is>
      </c>
      <c r="G680" t="inlineStr">
        <is>
          <t>1</t>
        </is>
      </c>
      <c r="H680" t="inlineStr">
        <is>
          <t>No</t>
        </is>
      </c>
      <c r="I680" t="inlineStr">
        <is>
          <t>No</t>
        </is>
      </c>
      <c r="J680" t="inlineStr">
        <is>
          <t>0</t>
        </is>
      </c>
      <c r="K680" t="inlineStr">
        <is>
          <t>Sunday times (London, England)</t>
        </is>
      </c>
      <c r="L680" t="inlineStr">
        <is>
          <t>New York : Morrow, [1962]</t>
        </is>
      </c>
      <c r="M680" t="inlineStr">
        <is>
          <t>1962</t>
        </is>
      </c>
      <c r="O680" t="inlineStr">
        <is>
          <t>eng</t>
        </is>
      </c>
      <c r="P680" t="inlineStr">
        <is>
          <t>nyu</t>
        </is>
      </c>
      <c r="R680" t="inlineStr">
        <is>
          <t xml:space="preserve">BV </t>
        </is>
      </c>
      <c r="S680" t="n">
        <v>8</v>
      </c>
      <c r="T680" t="n">
        <v>8</v>
      </c>
      <c r="U680" t="inlineStr">
        <is>
          <t>2009-12-05</t>
        </is>
      </c>
      <c r="V680" t="inlineStr">
        <is>
          <t>2009-12-05</t>
        </is>
      </c>
      <c r="W680" t="inlineStr">
        <is>
          <t>1990-06-22</t>
        </is>
      </c>
      <c r="X680" t="inlineStr">
        <is>
          <t>1990-06-22</t>
        </is>
      </c>
      <c r="Y680" t="n">
        <v>639</v>
      </c>
      <c r="Z680" t="n">
        <v>611</v>
      </c>
      <c r="AA680" t="n">
        <v>891</v>
      </c>
      <c r="AB680" t="n">
        <v>6</v>
      </c>
      <c r="AC680" t="n">
        <v>8</v>
      </c>
      <c r="AD680" t="n">
        <v>23</v>
      </c>
      <c r="AE680" t="n">
        <v>37</v>
      </c>
      <c r="AF680" t="n">
        <v>6</v>
      </c>
      <c r="AG680" t="n">
        <v>14</v>
      </c>
      <c r="AH680" t="n">
        <v>6</v>
      </c>
      <c r="AI680" t="n">
        <v>7</v>
      </c>
      <c r="AJ680" t="n">
        <v>12</v>
      </c>
      <c r="AK680" t="n">
        <v>19</v>
      </c>
      <c r="AL680" t="n">
        <v>5</v>
      </c>
      <c r="AM680" t="n">
        <v>6</v>
      </c>
      <c r="AN680" t="n">
        <v>0</v>
      </c>
      <c r="AO680" t="n">
        <v>0</v>
      </c>
      <c r="AP680" t="inlineStr">
        <is>
          <t>No</t>
        </is>
      </c>
      <c r="AQ680" t="inlineStr">
        <is>
          <t>Yes</t>
        </is>
      </c>
      <c r="AR680">
        <f>HYPERLINK("http://catalog.hathitrust.org/Record/001414863","HathiTrust Record")</f>
        <v/>
      </c>
      <c r="AS680">
        <f>HYPERLINK("https://creighton-primo.hosted.exlibrisgroup.com/primo-explore/search?tab=default_tab&amp;search_scope=EVERYTHING&amp;vid=01CRU&amp;lang=en_US&amp;offset=0&amp;query=any,contains,991001005049702656","Catalog Record")</f>
        <v/>
      </c>
      <c r="AT680">
        <f>HYPERLINK("http://www.worldcat.org/oclc/172451","WorldCat Record")</f>
        <v/>
      </c>
      <c r="AU680" t="inlineStr">
        <is>
          <t>9093709049:eng</t>
        </is>
      </c>
      <c r="AV680" t="inlineStr">
        <is>
          <t>172451</t>
        </is>
      </c>
      <c r="AW680" t="inlineStr">
        <is>
          <t>991001005049702656</t>
        </is>
      </c>
      <c r="AX680" t="inlineStr">
        <is>
          <t>991001005049702656</t>
        </is>
      </c>
      <c r="AY680" t="inlineStr">
        <is>
          <t>2270389710002656</t>
        </is>
      </c>
      <c r="AZ680" t="inlineStr">
        <is>
          <t>BOOK</t>
        </is>
      </c>
      <c r="BB680" t="inlineStr">
        <is>
          <t>9780836917222</t>
        </is>
      </c>
      <c r="BC680" t="inlineStr">
        <is>
          <t>32285000212356</t>
        </is>
      </c>
      <c r="BD680" t="inlineStr">
        <is>
          <t>893614691</t>
        </is>
      </c>
    </row>
    <row r="681">
      <c r="A681" t="inlineStr">
        <is>
          <t>No</t>
        </is>
      </c>
      <c r="B681" t="inlineStr">
        <is>
          <t>BV4630 .F5 1928</t>
        </is>
      </c>
      <c r="C681" t="inlineStr">
        <is>
          <t>0                      BV 4630000F  5           1928</t>
        </is>
      </c>
      <c r="D681" t="inlineStr">
        <is>
          <t>The supernatural virtues / by the Rev. T. E. Flynn; introduction by Rev. Martin J. Scott.</t>
        </is>
      </c>
      <c r="F681" t="inlineStr">
        <is>
          <t>No</t>
        </is>
      </c>
      <c r="G681" t="inlineStr">
        <is>
          <t>1</t>
        </is>
      </c>
      <c r="H681" t="inlineStr">
        <is>
          <t>No</t>
        </is>
      </c>
      <c r="I681" t="inlineStr">
        <is>
          <t>No</t>
        </is>
      </c>
      <c r="J681" t="inlineStr">
        <is>
          <t>0</t>
        </is>
      </c>
      <c r="K681" t="inlineStr">
        <is>
          <t>Flynn, Thomas Edward, 1880-1961.</t>
        </is>
      </c>
      <c r="L681" t="inlineStr">
        <is>
          <t>New York : Macmillan, 1928.</t>
        </is>
      </c>
      <c r="M681" t="inlineStr">
        <is>
          <t>1928</t>
        </is>
      </c>
      <c r="O681" t="inlineStr">
        <is>
          <t>eng</t>
        </is>
      </c>
      <c r="P681" t="inlineStr">
        <is>
          <t>___</t>
        </is>
      </c>
      <c r="Q681" t="inlineStr">
        <is>
          <t>The Treasury of the Faith Series, No.18.</t>
        </is>
      </c>
      <c r="R681" t="inlineStr">
        <is>
          <t xml:space="preserve">BV </t>
        </is>
      </c>
      <c r="S681" t="n">
        <v>2</v>
      </c>
      <c r="T681" t="n">
        <v>2</v>
      </c>
      <c r="U681" t="inlineStr">
        <is>
          <t>2003-02-01</t>
        </is>
      </c>
      <c r="V681" t="inlineStr">
        <is>
          <t>2003-02-01</t>
        </is>
      </c>
      <c r="W681" t="inlineStr">
        <is>
          <t>1992-03-02</t>
        </is>
      </c>
      <c r="X681" t="inlineStr">
        <is>
          <t>1992-03-02</t>
        </is>
      </c>
      <c r="Y681" t="n">
        <v>51</v>
      </c>
      <c r="Z681" t="n">
        <v>47</v>
      </c>
      <c r="AA681" t="n">
        <v>56</v>
      </c>
      <c r="AB681" t="n">
        <v>2</v>
      </c>
      <c r="AC681" t="n">
        <v>2</v>
      </c>
      <c r="AD681" t="n">
        <v>12</v>
      </c>
      <c r="AE681" t="n">
        <v>14</v>
      </c>
      <c r="AF681" t="n">
        <v>1</v>
      </c>
      <c r="AG681" t="n">
        <v>2</v>
      </c>
      <c r="AH681" t="n">
        <v>5</v>
      </c>
      <c r="AI681" t="n">
        <v>5</v>
      </c>
      <c r="AJ681" t="n">
        <v>9</v>
      </c>
      <c r="AK681" t="n">
        <v>11</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HYPERLINK("https://creighton-primo.hosted.exlibrisgroup.com/primo-explore/search?tab=default_tab&amp;search_scope=EVERYTHING&amp;vid=01CRU&amp;lang=en_US&amp;offset=0&amp;query=any,contains,991003383369702656","Catalog Record")</f>
        <v/>
      </c>
      <c r="AT681">
        <f>HYPERLINK("http://www.worldcat.org/oclc/920686","WorldCat Record")</f>
        <v/>
      </c>
      <c r="AU681" t="inlineStr">
        <is>
          <t>2529320335:eng</t>
        </is>
      </c>
      <c r="AV681" t="inlineStr">
        <is>
          <t>920686</t>
        </is>
      </c>
      <c r="AW681" t="inlineStr">
        <is>
          <t>991003383369702656</t>
        </is>
      </c>
      <c r="AX681" t="inlineStr">
        <is>
          <t>991003383369702656</t>
        </is>
      </c>
      <c r="AY681" t="inlineStr">
        <is>
          <t>2272182430002656</t>
        </is>
      </c>
      <c r="AZ681" t="inlineStr">
        <is>
          <t>BOOK</t>
        </is>
      </c>
      <c r="BC681" t="inlineStr">
        <is>
          <t>32285000967611</t>
        </is>
      </c>
      <c r="BD681" t="inlineStr">
        <is>
          <t>893698964</t>
        </is>
      </c>
    </row>
    <row r="682">
      <c r="A682" t="inlineStr">
        <is>
          <t>No</t>
        </is>
      </c>
      <c r="B682" t="inlineStr">
        <is>
          <t>BV4630 .F76 1999</t>
        </is>
      </c>
      <c r="C682" t="inlineStr">
        <is>
          <t>0                      BV 4630000F  76          1999</t>
        </is>
      </c>
      <c r="D682" t="inlineStr">
        <is>
          <t>From the ground up : teaching Catholic social principles in elementary schools / written and compiled by the Elementary and Secondary Schools Subgroup of the Task Force on Catholic Social Teaching and Catholic Education.</t>
        </is>
      </c>
      <c r="F682" t="inlineStr">
        <is>
          <t>No</t>
        </is>
      </c>
      <c r="G682" t="inlineStr">
        <is>
          <t>1</t>
        </is>
      </c>
      <c r="H682" t="inlineStr">
        <is>
          <t>No</t>
        </is>
      </c>
      <c r="I682" t="inlineStr">
        <is>
          <t>No</t>
        </is>
      </c>
      <c r="J682" t="inlineStr">
        <is>
          <t>0</t>
        </is>
      </c>
      <c r="M682" t="inlineStr">
        <is>
          <t>1999</t>
        </is>
      </c>
      <c r="O682" t="inlineStr">
        <is>
          <t>eng</t>
        </is>
      </c>
      <c r="P682" t="inlineStr">
        <is>
          <t>dcu</t>
        </is>
      </c>
      <c r="R682" t="inlineStr">
        <is>
          <t xml:space="preserve">BV </t>
        </is>
      </c>
      <c r="S682" t="n">
        <v>7</v>
      </c>
      <c r="T682" t="n">
        <v>7</v>
      </c>
      <c r="U682" t="inlineStr">
        <is>
          <t>1999-11-23</t>
        </is>
      </c>
      <c r="V682" t="inlineStr">
        <is>
          <t>1999-11-23</t>
        </is>
      </c>
      <c r="W682" t="inlineStr">
        <is>
          <t>1999-08-19</t>
        </is>
      </c>
      <c r="X682" t="inlineStr">
        <is>
          <t>1999-08-19</t>
        </is>
      </c>
      <c r="Y682" t="n">
        <v>43</v>
      </c>
      <c r="Z682" t="n">
        <v>35</v>
      </c>
      <c r="AA682" t="n">
        <v>38</v>
      </c>
      <c r="AB682" t="n">
        <v>1</v>
      </c>
      <c r="AC682" t="n">
        <v>1</v>
      </c>
      <c r="AD682" t="n">
        <v>9</v>
      </c>
      <c r="AE682" t="n">
        <v>9</v>
      </c>
      <c r="AF682" t="n">
        <v>4</v>
      </c>
      <c r="AG682" t="n">
        <v>4</v>
      </c>
      <c r="AH682" t="n">
        <v>2</v>
      </c>
      <c r="AI682" t="n">
        <v>2</v>
      </c>
      <c r="AJ682" t="n">
        <v>6</v>
      </c>
      <c r="AK682" t="n">
        <v>6</v>
      </c>
      <c r="AL682" t="n">
        <v>0</v>
      </c>
      <c r="AM682" t="n">
        <v>0</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HYPERLINK("https://creighton-primo.hosted.exlibrisgroup.com/primo-explore/search?tab=default_tab&amp;search_scope=EVERYTHING&amp;vid=01CRU&amp;lang=en_US&amp;offset=0&amp;query=any,contains,991003037529702656","Catalog Record")</f>
        <v/>
      </c>
      <c r="AT682">
        <f>HYPERLINK("http://www.worldcat.org/oclc/43798774","WorldCat Record")</f>
        <v/>
      </c>
      <c r="AU682" t="inlineStr">
        <is>
          <t>4011058369:eng</t>
        </is>
      </c>
      <c r="AV682" t="inlineStr">
        <is>
          <t>43798774</t>
        </is>
      </c>
      <c r="AW682" t="inlineStr">
        <is>
          <t>991003037529702656</t>
        </is>
      </c>
      <c r="AX682" t="inlineStr">
        <is>
          <t>991003037529702656</t>
        </is>
      </c>
      <c r="AY682" t="inlineStr">
        <is>
          <t>2259405580002656</t>
        </is>
      </c>
      <c r="AZ682" t="inlineStr">
        <is>
          <t>BOOK</t>
        </is>
      </c>
      <c r="BB682" t="inlineStr">
        <is>
          <t>9781558332218</t>
        </is>
      </c>
      <c r="BC682" t="inlineStr">
        <is>
          <t>32285003582961</t>
        </is>
      </c>
      <c r="BD682" t="inlineStr">
        <is>
          <t>893440862</t>
        </is>
      </c>
    </row>
    <row r="683">
      <c r="A683" t="inlineStr">
        <is>
          <t>No</t>
        </is>
      </c>
      <c r="B683" t="inlineStr">
        <is>
          <t>BV4630 .G813 1967</t>
        </is>
      </c>
      <c r="C683" t="inlineStr">
        <is>
          <t>0                      BV 4630000G  813         1967</t>
        </is>
      </c>
      <c r="D683" t="inlineStr">
        <is>
          <t>The virtues : on forms of moral life / Romano Guardini ; translated by Stella Lange.</t>
        </is>
      </c>
      <c r="F683" t="inlineStr">
        <is>
          <t>No</t>
        </is>
      </c>
      <c r="G683" t="inlineStr">
        <is>
          <t>1</t>
        </is>
      </c>
      <c r="H683" t="inlineStr">
        <is>
          <t>No</t>
        </is>
      </c>
      <c r="I683" t="inlineStr">
        <is>
          <t>No</t>
        </is>
      </c>
      <c r="J683" t="inlineStr">
        <is>
          <t>0</t>
        </is>
      </c>
      <c r="K683" t="inlineStr">
        <is>
          <t>Guardini, Romano, 1885-1968.</t>
        </is>
      </c>
      <c r="L683" t="inlineStr">
        <is>
          <t>Chicago : H. Regnery Co., [1967]</t>
        </is>
      </c>
      <c r="M683" t="inlineStr">
        <is>
          <t>1967</t>
        </is>
      </c>
      <c r="O683" t="inlineStr">
        <is>
          <t>eng</t>
        </is>
      </c>
      <c r="P683" t="inlineStr">
        <is>
          <t>ilu</t>
        </is>
      </c>
      <c r="R683" t="inlineStr">
        <is>
          <t xml:space="preserve">BV </t>
        </is>
      </c>
      <c r="S683" t="n">
        <v>6</v>
      </c>
      <c r="T683" t="n">
        <v>6</v>
      </c>
      <c r="U683" t="inlineStr">
        <is>
          <t>2003-04-05</t>
        </is>
      </c>
      <c r="V683" t="inlineStr">
        <is>
          <t>2003-04-05</t>
        </is>
      </c>
      <c r="W683" t="inlineStr">
        <is>
          <t>1990-12-19</t>
        </is>
      </c>
      <c r="X683" t="inlineStr">
        <is>
          <t>1990-12-19</t>
        </is>
      </c>
      <c r="Y683" t="n">
        <v>308</v>
      </c>
      <c r="Z683" t="n">
        <v>285</v>
      </c>
      <c r="AA683" t="n">
        <v>291</v>
      </c>
      <c r="AB683" t="n">
        <v>4</v>
      </c>
      <c r="AC683" t="n">
        <v>4</v>
      </c>
      <c r="AD683" t="n">
        <v>25</v>
      </c>
      <c r="AE683" t="n">
        <v>25</v>
      </c>
      <c r="AF683" t="n">
        <v>7</v>
      </c>
      <c r="AG683" t="n">
        <v>7</v>
      </c>
      <c r="AH683" t="n">
        <v>7</v>
      </c>
      <c r="AI683" t="n">
        <v>7</v>
      </c>
      <c r="AJ683" t="n">
        <v>18</v>
      </c>
      <c r="AK683" t="n">
        <v>18</v>
      </c>
      <c r="AL683" t="n">
        <v>2</v>
      </c>
      <c r="AM683" t="n">
        <v>2</v>
      </c>
      <c r="AN683" t="n">
        <v>0</v>
      </c>
      <c r="AO683" t="n">
        <v>0</v>
      </c>
      <c r="AP683" t="inlineStr">
        <is>
          <t>No</t>
        </is>
      </c>
      <c r="AQ683" t="inlineStr">
        <is>
          <t>Yes</t>
        </is>
      </c>
      <c r="AR683">
        <f>HYPERLINK("http://catalog.hathitrust.org/Record/001414872","HathiTrust Record")</f>
        <v/>
      </c>
      <c r="AS683">
        <f>HYPERLINK("https://creighton-primo.hosted.exlibrisgroup.com/primo-explore/search?tab=default_tab&amp;search_scope=EVERYTHING&amp;vid=01CRU&amp;lang=en_US&amp;offset=0&amp;query=any,contains,991003352079702656","Catalog Record")</f>
        <v/>
      </c>
      <c r="AT683">
        <f>HYPERLINK("http://www.worldcat.org/oclc/885672","WorldCat Record")</f>
        <v/>
      </c>
      <c r="AU683" t="inlineStr">
        <is>
          <t>10678473373:eng</t>
        </is>
      </c>
      <c r="AV683" t="inlineStr">
        <is>
          <t>885672</t>
        </is>
      </c>
      <c r="AW683" t="inlineStr">
        <is>
          <t>991003352079702656</t>
        </is>
      </c>
      <c r="AX683" t="inlineStr">
        <is>
          <t>991003352079702656</t>
        </is>
      </c>
      <c r="AY683" t="inlineStr">
        <is>
          <t>2257213430002656</t>
        </is>
      </c>
      <c r="AZ683" t="inlineStr">
        <is>
          <t>BOOK</t>
        </is>
      </c>
      <c r="BC683" t="inlineStr">
        <is>
          <t>32285000297829</t>
        </is>
      </c>
      <c r="BD683" t="inlineStr">
        <is>
          <t>893352801</t>
        </is>
      </c>
    </row>
    <row r="684">
      <c r="A684" t="inlineStr">
        <is>
          <t>No</t>
        </is>
      </c>
      <c r="B684" t="inlineStr">
        <is>
          <t>BV4630 .L5 1855</t>
        </is>
      </c>
      <c r="C684" t="inlineStr">
        <is>
          <t>0                      BV 4630000L  5           1855</t>
        </is>
      </c>
      <c r="D684" t="inlineStr">
        <is>
          <t>Christian virtues and the means for obtaining them / newly translated from the Italian, and edited by Robert A. Coffin.</t>
        </is>
      </c>
      <c r="F684" t="inlineStr">
        <is>
          <t>No</t>
        </is>
      </c>
      <c r="G684" t="inlineStr">
        <is>
          <t>1</t>
        </is>
      </c>
      <c r="H684" t="inlineStr">
        <is>
          <t>No</t>
        </is>
      </c>
      <c r="I684" t="inlineStr">
        <is>
          <t>No</t>
        </is>
      </c>
      <c r="J684" t="inlineStr">
        <is>
          <t>0</t>
        </is>
      </c>
      <c r="K684" t="inlineStr">
        <is>
          <t>Liguori, Alfonso Maria de', Saint, 1696-1787.</t>
        </is>
      </c>
      <c r="L684" t="inlineStr">
        <is>
          <t>New York : E. Dunigan and brother, 1855.</t>
        </is>
      </c>
      <c r="M684" t="inlineStr">
        <is>
          <t>1855</t>
        </is>
      </c>
      <c r="O684" t="inlineStr">
        <is>
          <t>eng</t>
        </is>
      </c>
      <c r="P684" t="inlineStr">
        <is>
          <t>nyu</t>
        </is>
      </c>
      <c r="R684" t="inlineStr">
        <is>
          <t xml:space="preserve">BV </t>
        </is>
      </c>
      <c r="S684" t="n">
        <v>2</v>
      </c>
      <c r="T684" t="n">
        <v>2</v>
      </c>
      <c r="U684" t="inlineStr">
        <is>
          <t>2008-07-27</t>
        </is>
      </c>
      <c r="V684" t="inlineStr">
        <is>
          <t>2008-07-27</t>
        </is>
      </c>
      <c r="W684" t="inlineStr">
        <is>
          <t>1992-03-02</t>
        </is>
      </c>
      <c r="X684" t="inlineStr">
        <is>
          <t>1992-03-02</t>
        </is>
      </c>
      <c r="Y684" t="n">
        <v>9</v>
      </c>
      <c r="Z684" t="n">
        <v>9</v>
      </c>
      <c r="AA684" t="n">
        <v>21</v>
      </c>
      <c r="AB684" t="n">
        <v>1</v>
      </c>
      <c r="AC684" t="n">
        <v>1</v>
      </c>
      <c r="AD684" t="n">
        <v>3</v>
      </c>
      <c r="AE684" t="n">
        <v>3</v>
      </c>
      <c r="AF684" t="n">
        <v>1</v>
      </c>
      <c r="AG684" t="n">
        <v>1</v>
      </c>
      <c r="AH684" t="n">
        <v>1</v>
      </c>
      <c r="AI684" t="n">
        <v>1</v>
      </c>
      <c r="AJ684" t="n">
        <v>2</v>
      </c>
      <c r="AK684" t="n">
        <v>2</v>
      </c>
      <c r="AL684" t="n">
        <v>0</v>
      </c>
      <c r="AM684" t="n">
        <v>0</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HYPERLINK("https://creighton-primo.hosted.exlibrisgroup.com/primo-explore/search?tab=default_tab&amp;search_scope=EVERYTHING&amp;vid=01CRU&amp;lang=en_US&amp;offset=0&amp;query=any,contains,991000715489702656","Catalog Record")</f>
        <v/>
      </c>
      <c r="AT684">
        <f>HYPERLINK("http://www.worldcat.org/oclc/12619715","WorldCat Record")</f>
        <v/>
      </c>
      <c r="AU684" t="inlineStr">
        <is>
          <t>3943682589:eng</t>
        </is>
      </c>
      <c r="AV684" t="inlineStr">
        <is>
          <t>12619715</t>
        </is>
      </c>
      <c r="AW684" t="inlineStr">
        <is>
          <t>991000715489702656</t>
        </is>
      </c>
      <c r="AX684" t="inlineStr">
        <is>
          <t>991000715489702656</t>
        </is>
      </c>
      <c r="AY684" t="inlineStr">
        <is>
          <t>2264495750002656</t>
        </is>
      </c>
      <c r="AZ684" t="inlineStr">
        <is>
          <t>BOOK</t>
        </is>
      </c>
      <c r="BC684" t="inlineStr">
        <is>
          <t>32285000967637</t>
        </is>
      </c>
      <c r="BD684" t="inlineStr">
        <is>
          <t>893702370</t>
        </is>
      </c>
    </row>
    <row r="685">
      <c r="A685" t="inlineStr">
        <is>
          <t>No</t>
        </is>
      </c>
      <c r="B685" t="inlineStr">
        <is>
          <t>BV4630 .R85 1952</t>
        </is>
      </c>
      <c r="C685" t="inlineStr">
        <is>
          <t>0                      BV 4630000R  85          1952</t>
        </is>
      </c>
      <c r="D685" t="inlineStr">
        <is>
          <t>Teaching the Christian virtues / William H. Russell.</t>
        </is>
      </c>
      <c r="F685" t="inlineStr">
        <is>
          <t>No</t>
        </is>
      </c>
      <c r="G685" t="inlineStr">
        <is>
          <t>1</t>
        </is>
      </c>
      <c r="H685" t="inlineStr">
        <is>
          <t>No</t>
        </is>
      </c>
      <c r="I685" t="inlineStr">
        <is>
          <t>No</t>
        </is>
      </c>
      <c r="J685" t="inlineStr">
        <is>
          <t>0</t>
        </is>
      </c>
      <c r="K685" t="inlineStr">
        <is>
          <t>Russell, W. H. (William Henry), 1895-</t>
        </is>
      </c>
      <c r="L685" t="inlineStr">
        <is>
          <t>Milwaukee : Bruce Pub. Co., [1952]</t>
        </is>
      </c>
      <c r="M685" t="inlineStr">
        <is>
          <t>1952</t>
        </is>
      </c>
      <c r="O685" t="inlineStr">
        <is>
          <t>eng</t>
        </is>
      </c>
      <c r="P685" t="inlineStr">
        <is>
          <t>wiu</t>
        </is>
      </c>
      <c r="R685" t="inlineStr">
        <is>
          <t xml:space="preserve">BV </t>
        </is>
      </c>
      <c r="S685" t="n">
        <v>2</v>
      </c>
      <c r="T685" t="n">
        <v>2</v>
      </c>
      <c r="U685" t="inlineStr">
        <is>
          <t>1996-04-28</t>
        </is>
      </c>
      <c r="V685" t="inlineStr">
        <is>
          <t>1996-04-28</t>
        </is>
      </c>
      <c r="W685" t="inlineStr">
        <is>
          <t>1992-03-02</t>
        </is>
      </c>
      <c r="X685" t="inlineStr">
        <is>
          <t>1992-03-02</t>
        </is>
      </c>
      <c r="Y685" t="n">
        <v>106</v>
      </c>
      <c r="Z685" t="n">
        <v>96</v>
      </c>
      <c r="AA685" t="n">
        <v>103</v>
      </c>
      <c r="AB685" t="n">
        <v>3</v>
      </c>
      <c r="AC685" t="n">
        <v>3</v>
      </c>
      <c r="AD685" t="n">
        <v>17</v>
      </c>
      <c r="AE685" t="n">
        <v>17</v>
      </c>
      <c r="AF685" t="n">
        <v>6</v>
      </c>
      <c r="AG685" t="n">
        <v>6</v>
      </c>
      <c r="AH685" t="n">
        <v>4</v>
      </c>
      <c r="AI685" t="n">
        <v>4</v>
      </c>
      <c r="AJ685" t="n">
        <v>13</v>
      </c>
      <c r="AK685" t="n">
        <v>13</v>
      </c>
      <c r="AL685" t="n">
        <v>0</v>
      </c>
      <c r="AM685" t="n">
        <v>0</v>
      </c>
      <c r="AN685" t="n">
        <v>0</v>
      </c>
      <c r="AO685" t="n">
        <v>0</v>
      </c>
      <c r="AP685" t="inlineStr">
        <is>
          <t>Yes</t>
        </is>
      </c>
      <c r="AQ685" t="inlineStr">
        <is>
          <t>No</t>
        </is>
      </c>
      <c r="AR685">
        <f>HYPERLINK("http://catalog.hathitrust.org/Record/001414873","HathiTrust Record")</f>
        <v/>
      </c>
      <c r="AS685">
        <f>HYPERLINK("https://creighton-primo.hosted.exlibrisgroup.com/primo-explore/search?tab=default_tab&amp;search_scope=EVERYTHING&amp;vid=01CRU&amp;lang=en_US&amp;offset=0&amp;query=any,contains,991004081539702656","Catalog Record")</f>
        <v/>
      </c>
      <c r="AT685">
        <f>HYPERLINK("http://www.worldcat.org/oclc/2330124","WorldCat Record")</f>
        <v/>
      </c>
      <c r="AU685" t="inlineStr">
        <is>
          <t>4806445:eng</t>
        </is>
      </c>
      <c r="AV685" t="inlineStr">
        <is>
          <t>2330124</t>
        </is>
      </c>
      <c r="AW685" t="inlineStr">
        <is>
          <t>991004081539702656</t>
        </is>
      </c>
      <c r="AX685" t="inlineStr">
        <is>
          <t>991004081539702656</t>
        </is>
      </c>
      <c r="AY685" t="inlineStr">
        <is>
          <t>2263721680002656</t>
        </is>
      </c>
      <c r="AZ685" t="inlineStr">
        <is>
          <t>BOOK</t>
        </is>
      </c>
      <c r="BC685" t="inlineStr">
        <is>
          <t>32285000967645</t>
        </is>
      </c>
      <c r="BD685" t="inlineStr">
        <is>
          <t>893235037</t>
        </is>
      </c>
    </row>
    <row r="686">
      <c r="A686" t="inlineStr">
        <is>
          <t>No</t>
        </is>
      </c>
      <c r="B686" t="inlineStr">
        <is>
          <t>BV4630 .U41 1882</t>
        </is>
      </c>
      <c r="C686" t="inlineStr">
        <is>
          <t>0                      BV 4630000U  41          1882</t>
        </is>
      </c>
      <c r="D686" t="inlineStr">
        <is>
          <t>The groundwork of the Christian virtues : a course of lectures / by Bishop Ullathorne.</t>
        </is>
      </c>
      <c r="F686" t="inlineStr">
        <is>
          <t>No</t>
        </is>
      </c>
      <c r="G686" t="inlineStr">
        <is>
          <t>1</t>
        </is>
      </c>
      <c r="H686" t="inlineStr">
        <is>
          <t>No</t>
        </is>
      </c>
      <c r="I686" t="inlineStr">
        <is>
          <t>No</t>
        </is>
      </c>
      <c r="J686" t="inlineStr">
        <is>
          <t>0</t>
        </is>
      </c>
      <c r="K686" t="inlineStr">
        <is>
          <t>Ullathorne, William Bernard, 1806-1889.</t>
        </is>
      </c>
      <c r="L686" t="inlineStr">
        <is>
          <t>London : Burns and Oates, 1882.</t>
        </is>
      </c>
      <c r="M686" t="inlineStr">
        <is>
          <t>1882</t>
        </is>
      </c>
      <c r="O686" t="inlineStr">
        <is>
          <t>eng</t>
        </is>
      </c>
      <c r="P686" t="inlineStr">
        <is>
          <t>enk</t>
        </is>
      </c>
      <c r="R686" t="inlineStr">
        <is>
          <t xml:space="preserve">BV </t>
        </is>
      </c>
      <c r="S686" t="n">
        <v>1</v>
      </c>
      <c r="T686" t="n">
        <v>1</v>
      </c>
      <c r="U686" t="inlineStr">
        <is>
          <t>2001-06-20</t>
        </is>
      </c>
      <c r="V686" t="inlineStr">
        <is>
          <t>2001-06-20</t>
        </is>
      </c>
      <c r="W686" t="inlineStr">
        <is>
          <t>1992-03-02</t>
        </is>
      </c>
      <c r="X686" t="inlineStr">
        <is>
          <t>1992-03-02</t>
        </is>
      </c>
      <c r="Y686" t="n">
        <v>26</v>
      </c>
      <c r="Z686" t="n">
        <v>17</v>
      </c>
      <c r="AA686" t="n">
        <v>89</v>
      </c>
      <c r="AB686" t="n">
        <v>1</v>
      </c>
      <c r="AC686" t="n">
        <v>1</v>
      </c>
      <c r="AD686" t="n">
        <v>3</v>
      </c>
      <c r="AE686" t="n">
        <v>8</v>
      </c>
      <c r="AF686" t="n">
        <v>0</v>
      </c>
      <c r="AG686" t="n">
        <v>0</v>
      </c>
      <c r="AH686" t="n">
        <v>1</v>
      </c>
      <c r="AI686" t="n">
        <v>2</v>
      </c>
      <c r="AJ686" t="n">
        <v>2</v>
      </c>
      <c r="AK686" t="n">
        <v>7</v>
      </c>
      <c r="AL686" t="n">
        <v>0</v>
      </c>
      <c r="AM686" t="n">
        <v>0</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HYPERLINK("https://creighton-primo.hosted.exlibrisgroup.com/primo-explore/search?tab=default_tab&amp;search_scope=EVERYTHING&amp;vid=01CRU&amp;lang=en_US&amp;offset=0&amp;query=any,contains,991005030849702656","Catalog Record")</f>
        <v/>
      </c>
      <c r="AT686">
        <f>HYPERLINK("http://www.worldcat.org/oclc/6715701","WorldCat Record")</f>
        <v/>
      </c>
      <c r="AU686" t="inlineStr">
        <is>
          <t>45867029:eng</t>
        </is>
      </c>
      <c r="AV686" t="inlineStr">
        <is>
          <t>6715701</t>
        </is>
      </c>
      <c r="AW686" t="inlineStr">
        <is>
          <t>991005030849702656</t>
        </is>
      </c>
      <c r="AX686" t="inlineStr">
        <is>
          <t>991005030849702656</t>
        </is>
      </c>
      <c r="AY686" t="inlineStr">
        <is>
          <t>2258368660002656</t>
        </is>
      </c>
      <c r="AZ686" t="inlineStr">
        <is>
          <t>BOOK</t>
        </is>
      </c>
      <c r="BC686" t="inlineStr">
        <is>
          <t>32285000967660</t>
        </is>
      </c>
      <c r="BD686" t="inlineStr">
        <is>
          <t>893437042</t>
        </is>
      </c>
    </row>
    <row r="687">
      <c r="A687" t="inlineStr">
        <is>
          <t>No</t>
        </is>
      </c>
      <c r="B687" t="inlineStr">
        <is>
          <t>BV4633 .T5 1960</t>
        </is>
      </c>
      <c r="C687" t="inlineStr">
        <is>
          <t>0                      BV 4633000T  5           1960</t>
        </is>
      </c>
      <c r="D687" t="inlineStr">
        <is>
          <t>Love, power, and justice : ontological analyses and ethical applications / Paul Tillich.</t>
        </is>
      </c>
      <c r="F687" t="inlineStr">
        <is>
          <t>No</t>
        </is>
      </c>
      <c r="G687" t="inlineStr">
        <is>
          <t>1</t>
        </is>
      </c>
      <c r="H687" t="inlineStr">
        <is>
          <t>No</t>
        </is>
      </c>
      <c r="I687" t="inlineStr">
        <is>
          <t>Yes</t>
        </is>
      </c>
      <c r="J687" t="inlineStr">
        <is>
          <t>0</t>
        </is>
      </c>
      <c r="K687" t="inlineStr">
        <is>
          <t>Tillich, Paul, 1886-1965.</t>
        </is>
      </c>
      <c r="L687" t="inlineStr">
        <is>
          <t>London ; New York : Oxford University Press, 1960, c1954, 1968 printing.</t>
        </is>
      </c>
      <c r="M687" t="inlineStr">
        <is>
          <t>1960</t>
        </is>
      </c>
      <c r="O687" t="inlineStr">
        <is>
          <t>eng</t>
        </is>
      </c>
      <c r="P687" t="inlineStr">
        <is>
          <t>enk</t>
        </is>
      </c>
      <c r="R687" t="inlineStr">
        <is>
          <t xml:space="preserve">BV </t>
        </is>
      </c>
      <c r="S687" t="n">
        <v>2</v>
      </c>
      <c r="T687" t="n">
        <v>2</v>
      </c>
      <c r="U687" t="inlineStr">
        <is>
          <t>1999-10-12</t>
        </is>
      </c>
      <c r="V687" t="inlineStr">
        <is>
          <t>1999-10-12</t>
        </is>
      </c>
      <c r="W687" t="inlineStr">
        <is>
          <t>1992-03-02</t>
        </is>
      </c>
      <c r="X687" t="inlineStr">
        <is>
          <t>1992-03-02</t>
        </is>
      </c>
      <c r="Y687" t="n">
        <v>138</v>
      </c>
      <c r="Z687" t="n">
        <v>114</v>
      </c>
      <c r="AA687" t="n">
        <v>548</v>
      </c>
      <c r="AB687" t="n">
        <v>1</v>
      </c>
      <c r="AC687" t="n">
        <v>4</v>
      </c>
      <c r="AD687" t="n">
        <v>5</v>
      </c>
      <c r="AE687" t="n">
        <v>28</v>
      </c>
      <c r="AF687" t="n">
        <v>1</v>
      </c>
      <c r="AG687" t="n">
        <v>12</v>
      </c>
      <c r="AH687" t="n">
        <v>2</v>
      </c>
      <c r="AI687" t="n">
        <v>8</v>
      </c>
      <c r="AJ687" t="n">
        <v>3</v>
      </c>
      <c r="AK687" t="n">
        <v>13</v>
      </c>
      <c r="AL687" t="n">
        <v>0</v>
      </c>
      <c r="AM687" t="n">
        <v>2</v>
      </c>
      <c r="AN687" t="n">
        <v>0</v>
      </c>
      <c r="AO687" t="n">
        <v>1</v>
      </c>
      <c r="AP687" t="inlineStr">
        <is>
          <t>No</t>
        </is>
      </c>
      <c r="AQ687" t="inlineStr">
        <is>
          <t>No</t>
        </is>
      </c>
      <c r="AS687">
        <f>HYPERLINK("https://creighton-primo.hosted.exlibrisgroup.com/primo-explore/search?tab=default_tab&amp;search_scope=EVERYTHING&amp;vid=01CRU&amp;lang=en_US&amp;offset=0&amp;query=any,contains,991000681579702656","Catalog Record")</f>
        <v/>
      </c>
      <c r="AT687">
        <f>HYPERLINK("http://www.worldcat.org/oclc/12401844","WorldCat Record")</f>
        <v/>
      </c>
      <c r="AU687" t="inlineStr">
        <is>
          <t>414640:eng</t>
        </is>
      </c>
      <c r="AV687" t="inlineStr">
        <is>
          <t>12401844</t>
        </is>
      </c>
      <c r="AW687" t="inlineStr">
        <is>
          <t>991000681579702656</t>
        </is>
      </c>
      <c r="AX687" t="inlineStr">
        <is>
          <t>991000681579702656</t>
        </is>
      </c>
      <c r="AY687" t="inlineStr">
        <is>
          <t>2259463990002656</t>
        </is>
      </c>
      <c r="AZ687" t="inlineStr">
        <is>
          <t>BOOK</t>
        </is>
      </c>
      <c r="BC687" t="inlineStr">
        <is>
          <t>32285000967678</t>
        </is>
      </c>
      <c r="BD687" t="inlineStr">
        <is>
          <t>893897121</t>
        </is>
      </c>
    </row>
    <row r="688">
      <c r="A688" t="inlineStr">
        <is>
          <t>No</t>
        </is>
      </c>
      <c r="B688" t="inlineStr">
        <is>
          <t>BV4633 .T5 1960a</t>
        </is>
      </c>
      <c r="C688" t="inlineStr">
        <is>
          <t>0                      BV 4633000T  5           1960a</t>
        </is>
      </c>
      <c r="D688" t="inlineStr">
        <is>
          <t>Love, power, and justice : ontological analyses and ethical applications / Paul Tillich.</t>
        </is>
      </c>
      <c r="F688" t="inlineStr">
        <is>
          <t>No</t>
        </is>
      </c>
      <c r="G688" t="inlineStr">
        <is>
          <t>1</t>
        </is>
      </c>
      <c r="H688" t="inlineStr">
        <is>
          <t>No</t>
        </is>
      </c>
      <c r="I688" t="inlineStr">
        <is>
          <t>Yes</t>
        </is>
      </c>
      <c r="J688" t="inlineStr">
        <is>
          <t>0</t>
        </is>
      </c>
      <c r="K688" t="inlineStr">
        <is>
          <t>Tillich, Paul, 1886-1965.</t>
        </is>
      </c>
      <c r="L688" t="inlineStr">
        <is>
          <t>New York : Oxford University Press, 1960, c1954.</t>
        </is>
      </c>
      <c r="M688" t="inlineStr">
        <is>
          <t>1960</t>
        </is>
      </c>
      <c r="O688" t="inlineStr">
        <is>
          <t>eng</t>
        </is>
      </c>
      <c r="P688" t="inlineStr">
        <is>
          <t>nyu</t>
        </is>
      </c>
      <c r="Q688" t="inlineStr">
        <is>
          <t>A Galaxy Book GB38</t>
        </is>
      </c>
      <c r="R688" t="inlineStr">
        <is>
          <t xml:space="preserve">BV </t>
        </is>
      </c>
      <c r="S688" t="n">
        <v>2</v>
      </c>
      <c r="T688" t="n">
        <v>2</v>
      </c>
      <c r="U688" t="inlineStr">
        <is>
          <t>2004-11-09</t>
        </is>
      </c>
      <c r="V688" t="inlineStr">
        <is>
          <t>2004-11-09</t>
        </is>
      </c>
      <c r="W688" t="inlineStr">
        <is>
          <t>1992-03-02</t>
        </is>
      </c>
      <c r="X688" t="inlineStr">
        <is>
          <t>1992-03-02</t>
        </is>
      </c>
      <c r="Y688" t="n">
        <v>273</v>
      </c>
      <c r="Z688" t="n">
        <v>243</v>
      </c>
      <c r="AA688" t="n">
        <v>548</v>
      </c>
      <c r="AB688" t="n">
        <v>2</v>
      </c>
      <c r="AC688" t="n">
        <v>4</v>
      </c>
      <c r="AD688" t="n">
        <v>18</v>
      </c>
      <c r="AE688" t="n">
        <v>28</v>
      </c>
      <c r="AF688" t="n">
        <v>10</v>
      </c>
      <c r="AG688" t="n">
        <v>12</v>
      </c>
      <c r="AH688" t="n">
        <v>5</v>
      </c>
      <c r="AI688" t="n">
        <v>8</v>
      </c>
      <c r="AJ688" t="n">
        <v>8</v>
      </c>
      <c r="AK688" t="n">
        <v>13</v>
      </c>
      <c r="AL688" t="n">
        <v>1</v>
      </c>
      <c r="AM688" t="n">
        <v>2</v>
      </c>
      <c r="AN688" t="n">
        <v>0</v>
      </c>
      <c r="AO688" t="n">
        <v>1</v>
      </c>
      <c r="AP688" t="inlineStr">
        <is>
          <t>No</t>
        </is>
      </c>
      <c r="AQ688" t="inlineStr">
        <is>
          <t>Yes</t>
        </is>
      </c>
      <c r="AR688">
        <f>HYPERLINK("http://catalog.hathitrust.org/Record/102071513","HathiTrust Record")</f>
        <v/>
      </c>
      <c r="AS688">
        <f>HYPERLINK("https://creighton-primo.hosted.exlibrisgroup.com/primo-explore/search?tab=default_tab&amp;search_scope=EVERYTHING&amp;vid=01CRU&amp;lang=en_US&amp;offset=0&amp;query=any,contains,991002650969702656","Catalog Record")</f>
        <v/>
      </c>
      <c r="AT688">
        <f>HYPERLINK("http://www.worldcat.org/oclc/387140","WorldCat Record")</f>
        <v/>
      </c>
      <c r="AU688" t="inlineStr">
        <is>
          <t>414640:eng</t>
        </is>
      </c>
      <c r="AV688" t="inlineStr">
        <is>
          <t>387140</t>
        </is>
      </c>
      <c r="AW688" t="inlineStr">
        <is>
          <t>991002650969702656</t>
        </is>
      </c>
      <c r="AX688" t="inlineStr">
        <is>
          <t>991002650969702656</t>
        </is>
      </c>
      <c r="AY688" t="inlineStr">
        <is>
          <t>2258226560002656</t>
        </is>
      </c>
      <c r="AZ688" t="inlineStr">
        <is>
          <t>BOOK</t>
        </is>
      </c>
      <c r="BC688" t="inlineStr">
        <is>
          <t>32285000967686</t>
        </is>
      </c>
      <c r="BD688" t="inlineStr">
        <is>
          <t>893886537</t>
        </is>
      </c>
    </row>
    <row r="689">
      <c r="A689" t="inlineStr">
        <is>
          <t>No</t>
        </is>
      </c>
      <c r="B689" t="inlineStr">
        <is>
          <t>BV4635 .G813 1963</t>
        </is>
      </c>
      <c r="C689" t="inlineStr">
        <is>
          <t>0                      BV 4635000G  813         1963</t>
        </is>
      </c>
      <c r="D689" t="inlineStr">
        <is>
          <t>The word of God on faith, hope and charity / by Romano Guardini. Translated by Stella Lange.</t>
        </is>
      </c>
      <c r="F689" t="inlineStr">
        <is>
          <t>No</t>
        </is>
      </c>
      <c r="G689" t="inlineStr">
        <is>
          <t>1</t>
        </is>
      </c>
      <c r="H689" t="inlineStr">
        <is>
          <t>No</t>
        </is>
      </c>
      <c r="I689" t="inlineStr">
        <is>
          <t>No</t>
        </is>
      </c>
      <c r="J689" t="inlineStr">
        <is>
          <t>0</t>
        </is>
      </c>
      <c r="K689" t="inlineStr">
        <is>
          <t>Guardini, Romano, 1885-1968.</t>
        </is>
      </c>
      <c r="L689" t="inlineStr">
        <is>
          <t>Chicago : Regnery, 1963.</t>
        </is>
      </c>
      <c r="M689" t="inlineStr">
        <is>
          <t>1963</t>
        </is>
      </c>
      <c r="O689" t="inlineStr">
        <is>
          <t>eng</t>
        </is>
      </c>
      <c r="P689" t="inlineStr">
        <is>
          <t>___</t>
        </is>
      </c>
      <c r="R689" t="inlineStr">
        <is>
          <t xml:space="preserve">BV </t>
        </is>
      </c>
      <c r="S689" t="n">
        <v>2</v>
      </c>
      <c r="T689" t="n">
        <v>2</v>
      </c>
      <c r="U689" t="inlineStr">
        <is>
          <t>1996-06-11</t>
        </is>
      </c>
      <c r="V689" t="inlineStr">
        <is>
          <t>1996-06-11</t>
        </is>
      </c>
      <c r="W689" t="inlineStr">
        <is>
          <t>1992-03-02</t>
        </is>
      </c>
      <c r="X689" t="inlineStr">
        <is>
          <t>1992-03-02</t>
        </is>
      </c>
      <c r="Y689" t="n">
        <v>196</v>
      </c>
      <c r="Z689" t="n">
        <v>186</v>
      </c>
      <c r="AA689" t="n">
        <v>186</v>
      </c>
      <c r="AB689" t="n">
        <v>1</v>
      </c>
      <c r="AC689" t="n">
        <v>1</v>
      </c>
      <c r="AD689" t="n">
        <v>26</v>
      </c>
      <c r="AE689" t="n">
        <v>26</v>
      </c>
      <c r="AF689" t="n">
        <v>7</v>
      </c>
      <c r="AG689" t="n">
        <v>7</v>
      </c>
      <c r="AH689" t="n">
        <v>8</v>
      </c>
      <c r="AI689" t="n">
        <v>8</v>
      </c>
      <c r="AJ689" t="n">
        <v>21</v>
      </c>
      <c r="AK689" t="n">
        <v>21</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HYPERLINK("https://creighton-primo.hosted.exlibrisgroup.com/primo-explore/search?tab=default_tab&amp;search_scope=EVERYTHING&amp;vid=01CRU&amp;lang=en_US&amp;offset=0&amp;query=any,contains,991003292379702656","Catalog Record")</f>
        <v/>
      </c>
      <c r="AT689">
        <f>HYPERLINK("http://www.worldcat.org/oclc/814364","WorldCat Record")</f>
        <v/>
      </c>
      <c r="AU689" t="inlineStr">
        <is>
          <t>9390507:eng</t>
        </is>
      </c>
      <c r="AV689" t="inlineStr">
        <is>
          <t>814364</t>
        </is>
      </c>
      <c r="AW689" t="inlineStr">
        <is>
          <t>991003292379702656</t>
        </is>
      </c>
      <c r="AX689" t="inlineStr">
        <is>
          <t>991003292379702656</t>
        </is>
      </c>
      <c r="AY689" t="inlineStr">
        <is>
          <t>2270289300002656</t>
        </is>
      </c>
      <c r="AZ689" t="inlineStr">
        <is>
          <t>BOOK</t>
        </is>
      </c>
      <c r="BC689" t="inlineStr">
        <is>
          <t>32285000967694</t>
        </is>
      </c>
      <c r="BD689" t="inlineStr">
        <is>
          <t>893799566</t>
        </is>
      </c>
    </row>
    <row r="690">
      <c r="A690" t="inlineStr">
        <is>
          <t>No</t>
        </is>
      </c>
      <c r="B690" t="inlineStr">
        <is>
          <t>BV4635 .N48 1976</t>
        </is>
      </c>
      <c r="C690" t="inlineStr">
        <is>
          <t>0                      BV 4635000N  48          1976</t>
        </is>
      </c>
      <c r="D690" t="inlineStr">
        <is>
          <t>The theological papers of John Henry Newman on faith and certainty / selected and edited by J. Derek Holmes ; partly prepared for publication by Hugo M. de Achaval ; with a note of introd. by Charles Stephen Dessain.</t>
        </is>
      </c>
      <c r="F690" t="inlineStr">
        <is>
          <t>No</t>
        </is>
      </c>
      <c r="G690" t="inlineStr">
        <is>
          <t>1</t>
        </is>
      </c>
      <c r="H690" t="inlineStr">
        <is>
          <t>No</t>
        </is>
      </c>
      <c r="I690" t="inlineStr">
        <is>
          <t>No</t>
        </is>
      </c>
      <c r="J690" t="inlineStr">
        <is>
          <t>0</t>
        </is>
      </c>
      <c r="K690" t="inlineStr">
        <is>
          <t>Newman, John Henry, 1801-1890.</t>
        </is>
      </c>
      <c r="L690" t="inlineStr">
        <is>
          <t>Oxford [Eng.] : Clarendon Press, 1976.</t>
        </is>
      </c>
      <c r="M690" t="inlineStr">
        <is>
          <t>1976</t>
        </is>
      </c>
      <c r="O690" t="inlineStr">
        <is>
          <t>eng</t>
        </is>
      </c>
      <c r="P690" t="inlineStr">
        <is>
          <t>enk</t>
        </is>
      </c>
      <c r="R690" t="inlineStr">
        <is>
          <t xml:space="preserve">BV </t>
        </is>
      </c>
      <c r="S690" t="n">
        <v>1</v>
      </c>
      <c r="T690" t="n">
        <v>1</v>
      </c>
      <c r="U690" t="inlineStr">
        <is>
          <t>1992-04-22</t>
        </is>
      </c>
      <c r="V690" t="inlineStr">
        <is>
          <t>1992-04-22</t>
        </is>
      </c>
      <c r="W690" t="inlineStr">
        <is>
          <t>1992-03-02</t>
        </is>
      </c>
      <c r="X690" t="inlineStr">
        <is>
          <t>1992-03-02</t>
        </is>
      </c>
      <c r="Y690" t="n">
        <v>501</v>
      </c>
      <c r="Z690" t="n">
        <v>382</v>
      </c>
      <c r="AA690" t="n">
        <v>382</v>
      </c>
      <c r="AB690" t="n">
        <v>4</v>
      </c>
      <c r="AC690" t="n">
        <v>4</v>
      </c>
      <c r="AD690" t="n">
        <v>34</v>
      </c>
      <c r="AE690" t="n">
        <v>34</v>
      </c>
      <c r="AF690" t="n">
        <v>14</v>
      </c>
      <c r="AG690" t="n">
        <v>14</v>
      </c>
      <c r="AH690" t="n">
        <v>7</v>
      </c>
      <c r="AI690" t="n">
        <v>7</v>
      </c>
      <c r="AJ690" t="n">
        <v>22</v>
      </c>
      <c r="AK690" t="n">
        <v>22</v>
      </c>
      <c r="AL690" t="n">
        <v>2</v>
      </c>
      <c r="AM690" t="n">
        <v>2</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HYPERLINK("https://creighton-primo.hosted.exlibrisgroup.com/primo-explore/search?tab=default_tab&amp;search_scope=EVERYTHING&amp;vid=01CRU&amp;lang=en_US&amp;offset=0&amp;query=any,contains,991004034389702656","Catalog Record")</f>
        <v/>
      </c>
      <c r="AT690">
        <f>HYPERLINK("http://www.worldcat.org/oclc/2165169","WorldCat Record")</f>
        <v/>
      </c>
      <c r="AU690" t="inlineStr">
        <is>
          <t>1955377:eng</t>
        </is>
      </c>
      <c r="AV690" t="inlineStr">
        <is>
          <t>2165169</t>
        </is>
      </c>
      <c r="AW690" t="inlineStr">
        <is>
          <t>991004034389702656</t>
        </is>
      </c>
      <c r="AX690" t="inlineStr">
        <is>
          <t>991004034389702656</t>
        </is>
      </c>
      <c r="AY690" t="inlineStr">
        <is>
          <t>2267730150002656</t>
        </is>
      </c>
      <c r="AZ690" t="inlineStr">
        <is>
          <t>BOOK</t>
        </is>
      </c>
      <c r="BB690" t="inlineStr">
        <is>
          <t>9780199200719</t>
        </is>
      </c>
      <c r="BC690" t="inlineStr">
        <is>
          <t>32285000967728</t>
        </is>
      </c>
      <c r="BD690" t="inlineStr">
        <is>
          <t>893900713</t>
        </is>
      </c>
    </row>
    <row r="691">
      <c r="A691" t="inlineStr">
        <is>
          <t>No</t>
        </is>
      </c>
      <c r="B691" t="inlineStr">
        <is>
          <t>BV4637 .A68 1992</t>
        </is>
      </c>
      <c r="C691" t="inlineStr">
        <is>
          <t>0                      BV 4637000A  68          1992</t>
        </is>
      </c>
      <c r="D691" t="inlineStr">
        <is>
          <t>Faith and unbelief : uncertainty and atheism / Herwig Arts.</t>
        </is>
      </c>
      <c r="F691" t="inlineStr">
        <is>
          <t>No</t>
        </is>
      </c>
      <c r="G691" t="inlineStr">
        <is>
          <t>1</t>
        </is>
      </c>
      <c r="H691" t="inlineStr">
        <is>
          <t>No</t>
        </is>
      </c>
      <c r="I691" t="inlineStr">
        <is>
          <t>No</t>
        </is>
      </c>
      <c r="J691" t="inlineStr">
        <is>
          <t>0</t>
        </is>
      </c>
      <c r="K691" t="inlineStr">
        <is>
          <t>Arts, Herwig.</t>
        </is>
      </c>
      <c r="L691" t="inlineStr">
        <is>
          <t>Collegeville, Minn. : Liturgical Press, c1992.</t>
        </is>
      </c>
      <c r="M691" t="inlineStr">
        <is>
          <t>1992</t>
        </is>
      </c>
      <c r="O691" t="inlineStr">
        <is>
          <t>eng</t>
        </is>
      </c>
      <c r="P691" t="inlineStr">
        <is>
          <t>mnu</t>
        </is>
      </c>
      <c r="R691" t="inlineStr">
        <is>
          <t xml:space="preserve">BV </t>
        </is>
      </c>
      <c r="S691" t="n">
        <v>3</v>
      </c>
      <c r="T691" t="n">
        <v>3</v>
      </c>
      <c r="U691" t="inlineStr">
        <is>
          <t>1999-11-07</t>
        </is>
      </c>
      <c r="V691" t="inlineStr">
        <is>
          <t>1999-11-07</t>
        </is>
      </c>
      <c r="W691" t="inlineStr">
        <is>
          <t>1993-12-22</t>
        </is>
      </c>
      <c r="X691" t="inlineStr">
        <is>
          <t>1993-12-22</t>
        </is>
      </c>
      <c r="Y691" t="n">
        <v>134</v>
      </c>
      <c r="Z691" t="n">
        <v>115</v>
      </c>
      <c r="AA691" t="n">
        <v>120</v>
      </c>
      <c r="AB691" t="n">
        <v>2</v>
      </c>
      <c r="AC691" t="n">
        <v>2</v>
      </c>
      <c r="AD691" t="n">
        <v>12</v>
      </c>
      <c r="AE691" t="n">
        <v>13</v>
      </c>
      <c r="AF691" t="n">
        <v>2</v>
      </c>
      <c r="AG691" t="n">
        <v>3</v>
      </c>
      <c r="AH691" t="n">
        <v>2</v>
      </c>
      <c r="AI691" t="n">
        <v>2</v>
      </c>
      <c r="AJ691" t="n">
        <v>10</v>
      </c>
      <c r="AK691" t="n">
        <v>11</v>
      </c>
      <c r="AL691" t="n">
        <v>1</v>
      </c>
      <c r="AM691" t="n">
        <v>1</v>
      </c>
      <c r="AN691" t="n">
        <v>0</v>
      </c>
      <c r="AO691" t="n">
        <v>0</v>
      </c>
      <c r="AP691" t="inlineStr">
        <is>
          <t>No</t>
        </is>
      </c>
      <c r="AQ691" t="inlineStr">
        <is>
          <t>Yes</t>
        </is>
      </c>
      <c r="AR691">
        <f>HYPERLINK("http://catalog.hathitrust.org/Record/002627728","HathiTrust Record")</f>
        <v/>
      </c>
      <c r="AS691">
        <f>HYPERLINK("https://creighton-primo.hosted.exlibrisgroup.com/primo-explore/search?tab=default_tab&amp;search_scope=EVERYTHING&amp;vid=01CRU&amp;lang=en_US&amp;offset=0&amp;query=any,contains,991002046439702656","Catalog Record")</f>
        <v/>
      </c>
      <c r="AT691">
        <f>HYPERLINK("http://www.worldcat.org/oclc/26129280","WorldCat Record")</f>
        <v/>
      </c>
      <c r="AU691" t="inlineStr">
        <is>
          <t>28775599:eng</t>
        </is>
      </c>
      <c r="AV691" t="inlineStr">
        <is>
          <t>26129280</t>
        </is>
      </c>
      <c r="AW691" t="inlineStr">
        <is>
          <t>991002046439702656</t>
        </is>
      </c>
      <c r="AX691" t="inlineStr">
        <is>
          <t>991002046439702656</t>
        </is>
      </c>
      <c r="AY691" t="inlineStr">
        <is>
          <t>2272784500002656</t>
        </is>
      </c>
      <c r="AZ691" t="inlineStr">
        <is>
          <t>BOOK</t>
        </is>
      </c>
      <c r="BB691" t="inlineStr">
        <is>
          <t>9780814620106</t>
        </is>
      </c>
      <c r="BC691" t="inlineStr">
        <is>
          <t>32285001816965</t>
        </is>
      </c>
      <c r="BD691" t="inlineStr">
        <is>
          <t>893433421</t>
        </is>
      </c>
    </row>
    <row r="692">
      <c r="A692" t="inlineStr">
        <is>
          <t>No</t>
        </is>
      </c>
      <c r="B692" t="inlineStr">
        <is>
          <t>BV4637 .C424 1988</t>
        </is>
      </c>
      <c r="C692" t="inlineStr">
        <is>
          <t>0                      BV 4637000C  424         1988</t>
        </is>
      </c>
      <c r="D692" t="inlineStr">
        <is>
          <t>Fostering faith : a minister's guide to faith development / Gary L. Chamberlain.</t>
        </is>
      </c>
      <c r="F692" t="inlineStr">
        <is>
          <t>No</t>
        </is>
      </c>
      <c r="G692" t="inlineStr">
        <is>
          <t>1</t>
        </is>
      </c>
      <c r="H692" t="inlineStr">
        <is>
          <t>No</t>
        </is>
      </c>
      <c r="I692" t="inlineStr">
        <is>
          <t>No</t>
        </is>
      </c>
      <c r="J692" t="inlineStr">
        <is>
          <t>0</t>
        </is>
      </c>
      <c r="K692" t="inlineStr">
        <is>
          <t>Chamberlain, Gary.</t>
        </is>
      </c>
      <c r="L692" t="inlineStr">
        <is>
          <t>New York : Paulist Press, c1988.</t>
        </is>
      </c>
      <c r="M692" t="inlineStr">
        <is>
          <t>1988</t>
        </is>
      </c>
      <c r="O692" t="inlineStr">
        <is>
          <t>eng</t>
        </is>
      </c>
      <c r="P692" t="inlineStr">
        <is>
          <t>nyu</t>
        </is>
      </c>
      <c r="R692" t="inlineStr">
        <is>
          <t xml:space="preserve">BV </t>
        </is>
      </c>
      <c r="S692" t="n">
        <v>6</v>
      </c>
      <c r="T692" t="n">
        <v>6</v>
      </c>
      <c r="U692" t="inlineStr">
        <is>
          <t>2008-06-18</t>
        </is>
      </c>
      <c r="V692" t="inlineStr">
        <is>
          <t>2008-06-18</t>
        </is>
      </c>
      <c r="W692" t="inlineStr">
        <is>
          <t>1990-04-30</t>
        </is>
      </c>
      <c r="X692" t="inlineStr">
        <is>
          <t>1990-04-30</t>
        </is>
      </c>
      <c r="Y692" t="n">
        <v>131</v>
      </c>
      <c r="Z692" t="n">
        <v>108</v>
      </c>
      <c r="AA692" t="n">
        <v>113</v>
      </c>
      <c r="AB692" t="n">
        <v>1</v>
      </c>
      <c r="AC692" t="n">
        <v>1</v>
      </c>
      <c r="AD692" t="n">
        <v>11</v>
      </c>
      <c r="AE692" t="n">
        <v>11</v>
      </c>
      <c r="AF692" t="n">
        <v>1</v>
      </c>
      <c r="AG692" t="n">
        <v>1</v>
      </c>
      <c r="AH692" t="n">
        <v>3</v>
      </c>
      <c r="AI692" t="n">
        <v>3</v>
      </c>
      <c r="AJ692" t="n">
        <v>8</v>
      </c>
      <c r="AK692" t="n">
        <v>8</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HYPERLINK("https://creighton-primo.hosted.exlibrisgroup.com/primo-explore/search?tab=default_tab&amp;search_scope=EVERYTHING&amp;vid=01CRU&amp;lang=en_US&amp;offset=0&amp;query=any,contains,991001341419702656","Catalog Record")</f>
        <v/>
      </c>
      <c r="AT692">
        <f>HYPERLINK("http://www.worldcat.org/oclc/18382763","WorldCat Record")</f>
        <v/>
      </c>
      <c r="AU692" t="inlineStr">
        <is>
          <t>17820894:eng</t>
        </is>
      </c>
      <c r="AV692" t="inlineStr">
        <is>
          <t>18382763</t>
        </is>
      </c>
      <c r="AW692" t="inlineStr">
        <is>
          <t>991001341419702656</t>
        </is>
      </c>
      <c r="AX692" t="inlineStr">
        <is>
          <t>991001341419702656</t>
        </is>
      </c>
      <c r="AY692" t="inlineStr">
        <is>
          <t>2259271850002656</t>
        </is>
      </c>
      <c r="AZ692" t="inlineStr">
        <is>
          <t>BOOK</t>
        </is>
      </c>
      <c r="BB692" t="inlineStr">
        <is>
          <t>9780809130283</t>
        </is>
      </c>
      <c r="BC692" t="inlineStr">
        <is>
          <t>32285000128222</t>
        </is>
      </c>
      <c r="BD692" t="inlineStr">
        <is>
          <t>893614988</t>
        </is>
      </c>
    </row>
    <row r="693">
      <c r="A693" t="inlineStr">
        <is>
          <t>No</t>
        </is>
      </c>
      <c r="B693" t="inlineStr">
        <is>
          <t>BV4637 .F658 1996</t>
        </is>
      </c>
      <c r="C693" t="inlineStr">
        <is>
          <t>0                      BV 4637000F  658         1996</t>
        </is>
      </c>
      <c r="D693" t="inlineStr">
        <is>
          <t>Faithful change : the personal and public challenges of postmodern life / James W. Fowler.</t>
        </is>
      </c>
      <c r="F693" t="inlineStr">
        <is>
          <t>No</t>
        </is>
      </c>
      <c r="G693" t="inlineStr">
        <is>
          <t>1</t>
        </is>
      </c>
      <c r="H693" t="inlineStr">
        <is>
          <t>No</t>
        </is>
      </c>
      <c r="I693" t="inlineStr">
        <is>
          <t>No</t>
        </is>
      </c>
      <c r="J693" t="inlineStr">
        <is>
          <t>0</t>
        </is>
      </c>
      <c r="K693" t="inlineStr">
        <is>
          <t>Fowler, James W., 1940-</t>
        </is>
      </c>
      <c r="L693" t="inlineStr">
        <is>
          <t>Nashville : Abingdon Press, c1996.</t>
        </is>
      </c>
      <c r="M693" t="inlineStr">
        <is>
          <t>1996</t>
        </is>
      </c>
      <c r="O693" t="inlineStr">
        <is>
          <t>eng</t>
        </is>
      </c>
      <c r="P693" t="inlineStr">
        <is>
          <t>tnu</t>
        </is>
      </c>
      <c r="R693" t="inlineStr">
        <is>
          <t xml:space="preserve">BV </t>
        </is>
      </c>
      <c r="S693" t="n">
        <v>7</v>
      </c>
      <c r="T693" t="n">
        <v>7</v>
      </c>
      <c r="U693" t="inlineStr">
        <is>
          <t>2005-09-27</t>
        </is>
      </c>
      <c r="V693" t="inlineStr">
        <is>
          <t>2005-09-27</t>
        </is>
      </c>
      <c r="W693" t="inlineStr">
        <is>
          <t>1998-01-12</t>
        </is>
      </c>
      <c r="X693" t="inlineStr">
        <is>
          <t>1998-01-12</t>
        </is>
      </c>
      <c r="Y693" t="n">
        <v>398</v>
      </c>
      <c r="Z693" t="n">
        <v>320</v>
      </c>
      <c r="AA693" t="n">
        <v>321</v>
      </c>
      <c r="AB693" t="n">
        <v>6</v>
      </c>
      <c r="AC693" t="n">
        <v>6</v>
      </c>
      <c r="AD693" t="n">
        <v>26</v>
      </c>
      <c r="AE693" t="n">
        <v>26</v>
      </c>
      <c r="AF693" t="n">
        <v>11</v>
      </c>
      <c r="AG693" t="n">
        <v>11</v>
      </c>
      <c r="AH693" t="n">
        <v>3</v>
      </c>
      <c r="AI693" t="n">
        <v>3</v>
      </c>
      <c r="AJ693" t="n">
        <v>15</v>
      </c>
      <c r="AK693" t="n">
        <v>15</v>
      </c>
      <c r="AL693" t="n">
        <v>4</v>
      </c>
      <c r="AM693" t="n">
        <v>4</v>
      </c>
      <c r="AN693" t="n">
        <v>0</v>
      </c>
      <c r="AO693" t="n">
        <v>0</v>
      </c>
      <c r="AP693" t="inlineStr">
        <is>
          <t>No</t>
        </is>
      </c>
      <c r="AQ693" t="inlineStr">
        <is>
          <t>Yes</t>
        </is>
      </c>
      <c r="AR693">
        <f>HYPERLINK("http://catalog.hathitrust.org/Record/003106014","HathiTrust Record")</f>
        <v/>
      </c>
      <c r="AS693">
        <f>HYPERLINK("https://creighton-primo.hosted.exlibrisgroup.com/primo-explore/search?tab=default_tab&amp;search_scope=EVERYTHING&amp;vid=01CRU&amp;lang=en_US&amp;offset=0&amp;query=any,contains,991005423219702656","Catalog Record")</f>
        <v/>
      </c>
      <c r="AT693">
        <f>HYPERLINK("http://www.worldcat.org/oclc/34244070","WorldCat Record")</f>
        <v/>
      </c>
      <c r="AU693" t="inlineStr">
        <is>
          <t>39824637:eng</t>
        </is>
      </c>
      <c r="AV693" t="inlineStr">
        <is>
          <t>34244070</t>
        </is>
      </c>
      <c r="AW693" t="inlineStr">
        <is>
          <t>991005423219702656</t>
        </is>
      </c>
      <c r="AX693" t="inlineStr">
        <is>
          <t>991005423219702656</t>
        </is>
      </c>
      <c r="AY693" t="inlineStr">
        <is>
          <t>2272051560002656</t>
        </is>
      </c>
      <c r="AZ693" t="inlineStr">
        <is>
          <t>BOOK</t>
        </is>
      </c>
      <c r="BB693" t="inlineStr">
        <is>
          <t>9780687017300</t>
        </is>
      </c>
      <c r="BC693" t="inlineStr">
        <is>
          <t>32285003303012</t>
        </is>
      </c>
      <c r="BD693" t="inlineStr">
        <is>
          <t>893790004</t>
        </is>
      </c>
    </row>
    <row r="694">
      <c r="A694" t="inlineStr">
        <is>
          <t>No</t>
        </is>
      </c>
      <c r="B694" t="inlineStr">
        <is>
          <t>BV4637 .P45 1972</t>
        </is>
      </c>
      <c r="C694" t="inlineStr">
        <is>
          <t>0                      BV 4637000P  45          1972</t>
        </is>
      </c>
      <c r="D694" t="inlineStr">
        <is>
          <t>Problems of religious knowledge / Terence Penelhum.</t>
        </is>
      </c>
      <c r="F694" t="inlineStr">
        <is>
          <t>No</t>
        </is>
      </c>
      <c r="G694" t="inlineStr">
        <is>
          <t>1</t>
        </is>
      </c>
      <c r="H694" t="inlineStr">
        <is>
          <t>No</t>
        </is>
      </c>
      <c r="I694" t="inlineStr">
        <is>
          <t>No</t>
        </is>
      </c>
      <c r="J694" t="inlineStr">
        <is>
          <t>0</t>
        </is>
      </c>
      <c r="K694" t="inlineStr">
        <is>
          <t>Penelhum, Terence, 1929-</t>
        </is>
      </c>
      <c r="L694" t="inlineStr">
        <is>
          <t>[New York] Herder and Herder [1972, c1971]</t>
        </is>
      </c>
      <c r="M694" t="inlineStr">
        <is>
          <t>1972</t>
        </is>
      </c>
      <c r="O694" t="inlineStr">
        <is>
          <t>eng</t>
        </is>
      </c>
      <c r="P694" t="inlineStr">
        <is>
          <t>nyu</t>
        </is>
      </c>
      <c r="Q694" t="inlineStr">
        <is>
          <t>Philosophy of religion series</t>
        </is>
      </c>
      <c r="R694" t="inlineStr">
        <is>
          <t xml:space="preserve">BV </t>
        </is>
      </c>
      <c r="S694" t="n">
        <v>1</v>
      </c>
      <c r="T694" t="n">
        <v>1</v>
      </c>
      <c r="U694" t="inlineStr">
        <is>
          <t>1997-02-14</t>
        </is>
      </c>
      <c r="V694" t="inlineStr">
        <is>
          <t>1997-02-14</t>
        </is>
      </c>
      <c r="W694" t="inlineStr">
        <is>
          <t>1995-07-31</t>
        </is>
      </c>
      <c r="X694" t="inlineStr">
        <is>
          <t>1995-07-31</t>
        </is>
      </c>
      <c r="Y694" t="n">
        <v>277</v>
      </c>
      <c r="Z694" t="n">
        <v>265</v>
      </c>
      <c r="AA694" t="n">
        <v>396</v>
      </c>
      <c r="AB694" t="n">
        <v>2</v>
      </c>
      <c r="AC694" t="n">
        <v>3</v>
      </c>
      <c r="AD694" t="n">
        <v>17</v>
      </c>
      <c r="AE694" t="n">
        <v>24</v>
      </c>
      <c r="AF694" t="n">
        <v>7</v>
      </c>
      <c r="AG694" t="n">
        <v>10</v>
      </c>
      <c r="AH694" t="n">
        <v>5</v>
      </c>
      <c r="AI694" t="n">
        <v>8</v>
      </c>
      <c r="AJ694" t="n">
        <v>11</v>
      </c>
      <c r="AK694" t="n">
        <v>15</v>
      </c>
      <c r="AL694" t="n">
        <v>0</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HYPERLINK("https://creighton-primo.hosted.exlibrisgroup.com/primo-explore/search?tab=default_tab&amp;search_scope=EVERYTHING&amp;vid=01CRU&amp;lang=en_US&amp;offset=0&amp;query=any,contains,991002395409702656","Catalog Record")</f>
        <v/>
      </c>
      <c r="AT694">
        <f>HYPERLINK("http://www.worldcat.org/oclc/334467","WorldCat Record")</f>
        <v/>
      </c>
      <c r="AU694" t="inlineStr">
        <is>
          <t>1383627:eng</t>
        </is>
      </c>
      <c r="AV694" t="inlineStr">
        <is>
          <t>334467</t>
        </is>
      </c>
      <c r="AW694" t="inlineStr">
        <is>
          <t>991002395409702656</t>
        </is>
      </c>
      <c r="AX694" t="inlineStr">
        <is>
          <t>991002395409702656</t>
        </is>
      </c>
      <c r="AY694" t="inlineStr">
        <is>
          <t>2257405600002656</t>
        </is>
      </c>
      <c r="AZ694" t="inlineStr">
        <is>
          <t>BOOK</t>
        </is>
      </c>
      <c r="BC694" t="inlineStr">
        <is>
          <t>32285002060993</t>
        </is>
      </c>
      <c r="BD694" t="inlineStr">
        <is>
          <t>893616065</t>
        </is>
      </c>
    </row>
    <row r="695">
      <c r="A695" t="inlineStr">
        <is>
          <t>No</t>
        </is>
      </c>
      <c r="B695" t="inlineStr">
        <is>
          <t>BV4637 .P68 1975</t>
        </is>
      </c>
      <c r="C695" t="inlineStr">
        <is>
          <t>0                      BV 4637000P  68          1975</t>
        </is>
      </c>
      <c r="D695" t="inlineStr">
        <is>
          <t>A reason to live! A reason to die! : a new look at faith in God / John Powell.</t>
        </is>
      </c>
      <c r="F695" t="inlineStr">
        <is>
          <t>No</t>
        </is>
      </c>
      <c r="G695" t="inlineStr">
        <is>
          <t>1</t>
        </is>
      </c>
      <c r="H695" t="inlineStr">
        <is>
          <t>No</t>
        </is>
      </c>
      <c r="I695" t="inlineStr">
        <is>
          <t>No</t>
        </is>
      </c>
      <c r="J695" t="inlineStr">
        <is>
          <t>0</t>
        </is>
      </c>
      <c r="K695" t="inlineStr">
        <is>
          <t>Powell, John, 1925-2009.</t>
        </is>
      </c>
      <c r="L695" t="inlineStr">
        <is>
          <t>[Niles, Ill. ; Argus Communications], c1975</t>
        </is>
      </c>
      <c r="M695" t="inlineStr">
        <is>
          <t>1975</t>
        </is>
      </c>
      <c r="O695" t="inlineStr">
        <is>
          <t>eng</t>
        </is>
      </c>
      <c r="P695" t="inlineStr">
        <is>
          <t>ilu</t>
        </is>
      </c>
      <c r="R695" t="inlineStr">
        <is>
          <t xml:space="preserve">BV </t>
        </is>
      </c>
      <c r="S695" t="n">
        <v>1</v>
      </c>
      <c r="T695" t="n">
        <v>1</v>
      </c>
      <c r="U695" t="inlineStr">
        <is>
          <t>2009-07-28</t>
        </is>
      </c>
      <c r="V695" t="inlineStr">
        <is>
          <t>2009-07-28</t>
        </is>
      </c>
      <c r="W695" t="inlineStr">
        <is>
          <t>2009-07-28</t>
        </is>
      </c>
      <c r="X695" t="inlineStr">
        <is>
          <t>2009-07-28</t>
        </is>
      </c>
      <c r="Y695" t="n">
        <v>244</v>
      </c>
      <c r="Z695" t="n">
        <v>195</v>
      </c>
      <c r="AA695" t="n">
        <v>300</v>
      </c>
      <c r="AB695" t="n">
        <v>5</v>
      </c>
      <c r="AC695" t="n">
        <v>5</v>
      </c>
      <c r="AD695" t="n">
        <v>19</v>
      </c>
      <c r="AE695" t="n">
        <v>23</v>
      </c>
      <c r="AF695" t="n">
        <v>5</v>
      </c>
      <c r="AG695" t="n">
        <v>7</v>
      </c>
      <c r="AH695" t="n">
        <v>4</v>
      </c>
      <c r="AI695" t="n">
        <v>5</v>
      </c>
      <c r="AJ695" t="n">
        <v>10</v>
      </c>
      <c r="AK695" t="n">
        <v>13</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HYPERLINK("https://creighton-primo.hosted.exlibrisgroup.com/primo-explore/search?tab=default_tab&amp;search_scope=EVERYTHING&amp;vid=01CRU&amp;lang=en_US&amp;offset=0&amp;query=any,contains,991005328449702656","Catalog Record")</f>
        <v/>
      </c>
      <c r="AT695">
        <f>HYPERLINK("http://www.worldcat.org/oclc/2042035","WorldCat Record")</f>
        <v/>
      </c>
      <c r="AU695" t="inlineStr">
        <is>
          <t>558432:eng</t>
        </is>
      </c>
      <c r="AV695" t="inlineStr">
        <is>
          <t>2042035</t>
        </is>
      </c>
      <c r="AW695" t="inlineStr">
        <is>
          <t>991005328449702656</t>
        </is>
      </c>
      <c r="AX695" t="inlineStr">
        <is>
          <t>991005328449702656</t>
        </is>
      </c>
      <c r="AY695" t="inlineStr">
        <is>
          <t>2271964940002656</t>
        </is>
      </c>
      <c r="AZ695" t="inlineStr">
        <is>
          <t>BOOK</t>
        </is>
      </c>
      <c r="BB695" t="inlineStr">
        <is>
          <t>9780913592618</t>
        </is>
      </c>
      <c r="BC695" t="inlineStr">
        <is>
          <t>32285005539407</t>
        </is>
      </c>
      <c r="BD695" t="inlineStr">
        <is>
          <t>893594858</t>
        </is>
      </c>
    </row>
    <row r="696">
      <c r="A696" t="inlineStr">
        <is>
          <t>No</t>
        </is>
      </c>
      <c r="B696" t="inlineStr">
        <is>
          <t>BV4637 .R34213</t>
        </is>
      </c>
      <c r="C696" t="inlineStr">
        <is>
          <t>0                      BV 4637000R  34213</t>
        </is>
      </c>
      <c r="D696" t="inlineStr">
        <is>
          <t>Meditations on freedom and the spirit / Karl Rahner ; [translated from the German by Rosaleen Ockenden, David Smith, and Cecily Bennett].</t>
        </is>
      </c>
      <c r="F696" t="inlineStr">
        <is>
          <t>No</t>
        </is>
      </c>
      <c r="G696" t="inlineStr">
        <is>
          <t>1</t>
        </is>
      </c>
      <c r="H696" t="inlineStr">
        <is>
          <t>No</t>
        </is>
      </c>
      <c r="I696" t="inlineStr">
        <is>
          <t>No</t>
        </is>
      </c>
      <c r="J696" t="inlineStr">
        <is>
          <t>0</t>
        </is>
      </c>
      <c r="K696" t="inlineStr">
        <is>
          <t>Rahner, Karl, 1904-1984.</t>
        </is>
      </c>
      <c r="L696" t="inlineStr">
        <is>
          <t>New York : Seabury Press, 1978.</t>
        </is>
      </c>
      <c r="M696" t="inlineStr">
        <is>
          <t>1978</t>
        </is>
      </c>
      <c r="O696" t="inlineStr">
        <is>
          <t>eng</t>
        </is>
      </c>
      <c r="P696" t="inlineStr">
        <is>
          <t>nyu</t>
        </is>
      </c>
      <c r="R696" t="inlineStr">
        <is>
          <t xml:space="preserve">BV </t>
        </is>
      </c>
      <c r="S696" t="n">
        <v>7</v>
      </c>
      <c r="T696" t="n">
        <v>7</v>
      </c>
      <c r="U696" t="inlineStr">
        <is>
          <t>1998-02-05</t>
        </is>
      </c>
      <c r="V696" t="inlineStr">
        <is>
          <t>1998-02-05</t>
        </is>
      </c>
      <c r="W696" t="inlineStr">
        <is>
          <t>1992-03-02</t>
        </is>
      </c>
      <c r="X696" t="inlineStr">
        <is>
          <t>1992-03-02</t>
        </is>
      </c>
      <c r="Y696" t="n">
        <v>227</v>
      </c>
      <c r="Z696" t="n">
        <v>197</v>
      </c>
      <c r="AA696" t="n">
        <v>229</v>
      </c>
      <c r="AB696" t="n">
        <v>3</v>
      </c>
      <c r="AC696" t="n">
        <v>3</v>
      </c>
      <c r="AD696" t="n">
        <v>16</v>
      </c>
      <c r="AE696" t="n">
        <v>18</v>
      </c>
      <c r="AF696" t="n">
        <v>3</v>
      </c>
      <c r="AG696" t="n">
        <v>4</v>
      </c>
      <c r="AH696" t="n">
        <v>4</v>
      </c>
      <c r="AI696" t="n">
        <v>5</v>
      </c>
      <c r="AJ696" t="n">
        <v>12</v>
      </c>
      <c r="AK696" t="n">
        <v>12</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HYPERLINK("https://creighton-primo.hosted.exlibrisgroup.com/primo-explore/search?tab=default_tab&amp;search_scope=EVERYTHING&amp;vid=01CRU&amp;lang=en_US&amp;offset=0&amp;query=any,contains,991004486829702656","Catalog Record")</f>
        <v/>
      </c>
      <c r="AT696">
        <f>HYPERLINK("http://www.worldcat.org/oclc/3649633","WorldCat Record")</f>
        <v/>
      </c>
      <c r="AU696" t="inlineStr">
        <is>
          <t>4160980089:eng</t>
        </is>
      </c>
      <c r="AV696" t="inlineStr">
        <is>
          <t>3649633</t>
        </is>
      </c>
      <c r="AW696" t="inlineStr">
        <is>
          <t>991004486829702656</t>
        </is>
      </c>
      <c r="AX696" t="inlineStr">
        <is>
          <t>991004486829702656</t>
        </is>
      </c>
      <c r="AY696" t="inlineStr">
        <is>
          <t>2255760750002656</t>
        </is>
      </c>
      <c r="AZ696" t="inlineStr">
        <is>
          <t>BOOK</t>
        </is>
      </c>
      <c r="BB696" t="inlineStr">
        <is>
          <t>9780816421626</t>
        </is>
      </c>
      <c r="BC696" t="inlineStr">
        <is>
          <t>32285000967769</t>
        </is>
      </c>
      <c r="BD696" t="inlineStr">
        <is>
          <t>893618719</t>
        </is>
      </c>
    </row>
    <row r="697">
      <c r="A697" t="inlineStr">
        <is>
          <t>No</t>
        </is>
      </c>
      <c r="B697" t="inlineStr">
        <is>
          <t>BV4637 .S3813 1984</t>
        </is>
      </c>
      <c r="C697" t="inlineStr">
        <is>
          <t>0                      BV 4637000S  3813        1984</t>
        </is>
      </c>
      <c r="D697" t="inlineStr">
        <is>
          <t>Faith and ideologies / Juan Luis Segundo ; translated from the Spanish by John Drury.</t>
        </is>
      </c>
      <c r="F697" t="inlineStr">
        <is>
          <t>No</t>
        </is>
      </c>
      <c r="G697" t="inlineStr">
        <is>
          <t>1</t>
        </is>
      </c>
      <c r="H697" t="inlineStr">
        <is>
          <t>No</t>
        </is>
      </c>
      <c r="I697" t="inlineStr">
        <is>
          <t>No</t>
        </is>
      </c>
      <c r="J697" t="inlineStr">
        <is>
          <t>0</t>
        </is>
      </c>
      <c r="K697" t="inlineStr">
        <is>
          <t>Segundo, Juan Luis.</t>
        </is>
      </c>
      <c r="L697" t="inlineStr">
        <is>
          <t>Maryknoll, N.Y. : Orbis Books, c1984.</t>
        </is>
      </c>
      <c r="M697" t="inlineStr">
        <is>
          <t>1984</t>
        </is>
      </c>
      <c r="O697" t="inlineStr">
        <is>
          <t>eng</t>
        </is>
      </c>
      <c r="P697" t="inlineStr">
        <is>
          <t>nyu</t>
        </is>
      </c>
      <c r="Q697" t="inlineStr">
        <is>
          <t>Jesus of Nazareth, yesterday and today ; v. 1</t>
        </is>
      </c>
      <c r="R697" t="inlineStr">
        <is>
          <t xml:space="preserve">BV </t>
        </is>
      </c>
      <c r="S697" t="n">
        <v>5</v>
      </c>
      <c r="T697" t="n">
        <v>5</v>
      </c>
      <c r="U697" t="inlineStr">
        <is>
          <t>2004-09-20</t>
        </is>
      </c>
      <c r="V697" t="inlineStr">
        <is>
          <t>2004-09-20</t>
        </is>
      </c>
      <c r="W697" t="inlineStr">
        <is>
          <t>1992-03-02</t>
        </is>
      </c>
      <c r="X697" t="inlineStr">
        <is>
          <t>1992-03-02</t>
        </is>
      </c>
      <c r="Y697" t="n">
        <v>480</v>
      </c>
      <c r="Z697" t="n">
        <v>387</v>
      </c>
      <c r="AA697" t="n">
        <v>391</v>
      </c>
      <c r="AB697" t="n">
        <v>4</v>
      </c>
      <c r="AC697" t="n">
        <v>4</v>
      </c>
      <c r="AD697" t="n">
        <v>36</v>
      </c>
      <c r="AE697" t="n">
        <v>36</v>
      </c>
      <c r="AF697" t="n">
        <v>13</v>
      </c>
      <c r="AG697" t="n">
        <v>13</v>
      </c>
      <c r="AH697" t="n">
        <v>9</v>
      </c>
      <c r="AI697" t="n">
        <v>9</v>
      </c>
      <c r="AJ697" t="n">
        <v>24</v>
      </c>
      <c r="AK697" t="n">
        <v>24</v>
      </c>
      <c r="AL697" t="n">
        <v>2</v>
      </c>
      <c r="AM697" t="n">
        <v>2</v>
      </c>
      <c r="AN697" t="n">
        <v>0</v>
      </c>
      <c r="AO697" t="n">
        <v>0</v>
      </c>
      <c r="AP697" t="inlineStr">
        <is>
          <t>No</t>
        </is>
      </c>
      <c r="AQ697" t="inlineStr">
        <is>
          <t>Yes</t>
        </is>
      </c>
      <c r="AR697">
        <f>HYPERLINK("http://catalog.hathitrust.org/Record/000167209","HathiTrust Record")</f>
        <v/>
      </c>
      <c r="AS697">
        <f>HYPERLINK("https://creighton-primo.hosted.exlibrisgroup.com/primo-explore/search?tab=default_tab&amp;search_scope=EVERYTHING&amp;vid=01CRU&amp;lang=en_US&amp;offset=0&amp;query=any,contains,991000290759702656","Catalog Record")</f>
        <v/>
      </c>
      <c r="AT697">
        <f>HYPERLINK("http://www.worldcat.org/oclc/9968940","WorldCat Record")</f>
        <v/>
      </c>
      <c r="AU697" t="inlineStr">
        <is>
          <t>4982968:eng</t>
        </is>
      </c>
      <c r="AV697" t="inlineStr">
        <is>
          <t>9968940</t>
        </is>
      </c>
      <c r="AW697" t="inlineStr">
        <is>
          <t>991000290759702656</t>
        </is>
      </c>
      <c r="AX697" t="inlineStr">
        <is>
          <t>991000290759702656</t>
        </is>
      </c>
      <c r="AY697" t="inlineStr">
        <is>
          <t>2262790480002656</t>
        </is>
      </c>
      <c r="AZ697" t="inlineStr">
        <is>
          <t>BOOK</t>
        </is>
      </c>
      <c r="BB697" t="inlineStr">
        <is>
          <t>9780883441275</t>
        </is>
      </c>
      <c r="BC697" t="inlineStr">
        <is>
          <t>32285000967777</t>
        </is>
      </c>
      <c r="BD697" t="inlineStr">
        <is>
          <t>893884276</t>
        </is>
      </c>
    </row>
    <row r="698">
      <c r="A698" t="inlineStr">
        <is>
          <t>No</t>
        </is>
      </c>
      <c r="B698" t="inlineStr">
        <is>
          <t>BV4638 .C28</t>
        </is>
      </c>
      <c r="C698" t="inlineStr">
        <is>
          <t>0                      BV 4638000C  28</t>
        </is>
      </c>
      <c r="D698" t="inlineStr">
        <is>
          <t>Time invades the cathedral : tension in the school of hope / by Walter H. Capps.</t>
        </is>
      </c>
      <c r="F698" t="inlineStr">
        <is>
          <t>No</t>
        </is>
      </c>
      <c r="G698" t="inlineStr">
        <is>
          <t>1</t>
        </is>
      </c>
      <c r="H698" t="inlineStr">
        <is>
          <t>No</t>
        </is>
      </c>
      <c r="I698" t="inlineStr">
        <is>
          <t>No</t>
        </is>
      </c>
      <c r="J698" t="inlineStr">
        <is>
          <t>0</t>
        </is>
      </c>
      <c r="K698" t="inlineStr">
        <is>
          <t>Capps, Walter H.</t>
        </is>
      </c>
      <c r="L698" t="inlineStr">
        <is>
          <t>Philadelphia, Fortress Press [1972]</t>
        </is>
      </c>
      <c r="M698" t="inlineStr">
        <is>
          <t>1972</t>
        </is>
      </c>
      <c r="O698" t="inlineStr">
        <is>
          <t>eng</t>
        </is>
      </c>
      <c r="P698" t="inlineStr">
        <is>
          <t>pau</t>
        </is>
      </c>
      <c r="R698" t="inlineStr">
        <is>
          <t xml:space="preserve">BV </t>
        </is>
      </c>
      <c r="S698" t="n">
        <v>1</v>
      </c>
      <c r="T698" t="n">
        <v>1</v>
      </c>
      <c r="U698" t="inlineStr">
        <is>
          <t>1998-02-17</t>
        </is>
      </c>
      <c r="V698" t="inlineStr">
        <is>
          <t>1998-02-17</t>
        </is>
      </c>
      <c r="W698" t="inlineStr">
        <is>
          <t>1992-03-02</t>
        </is>
      </c>
      <c r="X698" t="inlineStr">
        <is>
          <t>1992-03-02</t>
        </is>
      </c>
      <c r="Y698" t="n">
        <v>295</v>
      </c>
      <c r="Z698" t="n">
        <v>257</v>
      </c>
      <c r="AA698" t="n">
        <v>264</v>
      </c>
      <c r="AB698" t="n">
        <v>4</v>
      </c>
      <c r="AC698" t="n">
        <v>4</v>
      </c>
      <c r="AD698" t="n">
        <v>29</v>
      </c>
      <c r="AE698" t="n">
        <v>29</v>
      </c>
      <c r="AF698" t="n">
        <v>10</v>
      </c>
      <c r="AG698" t="n">
        <v>10</v>
      </c>
      <c r="AH698" t="n">
        <v>6</v>
      </c>
      <c r="AI698" t="n">
        <v>6</v>
      </c>
      <c r="AJ698" t="n">
        <v>18</v>
      </c>
      <c r="AK698" t="n">
        <v>18</v>
      </c>
      <c r="AL698" t="n">
        <v>3</v>
      </c>
      <c r="AM698" t="n">
        <v>3</v>
      </c>
      <c r="AN698" t="n">
        <v>0</v>
      </c>
      <c r="AO698" t="n">
        <v>0</v>
      </c>
      <c r="AP698" t="inlineStr">
        <is>
          <t>No</t>
        </is>
      </c>
      <c r="AQ698" t="inlineStr">
        <is>
          <t>Yes</t>
        </is>
      </c>
      <c r="AR698">
        <f>HYPERLINK("http://catalog.hathitrust.org/Record/006019434","HathiTrust Record")</f>
        <v/>
      </c>
      <c r="AS698">
        <f>HYPERLINK("https://creighton-primo.hosted.exlibrisgroup.com/primo-explore/search?tab=default_tab&amp;search_scope=EVERYTHING&amp;vid=01CRU&amp;lang=en_US&amp;offset=0&amp;query=any,contains,991002260569702656","Catalog Record")</f>
        <v/>
      </c>
      <c r="AT698">
        <f>HYPERLINK("http://www.worldcat.org/oclc/303971","WorldCat Record")</f>
        <v/>
      </c>
      <c r="AU698" t="inlineStr">
        <is>
          <t>1351882:eng</t>
        </is>
      </c>
      <c r="AV698" t="inlineStr">
        <is>
          <t>303971</t>
        </is>
      </c>
      <c r="AW698" t="inlineStr">
        <is>
          <t>991002260569702656</t>
        </is>
      </c>
      <c r="AX698" t="inlineStr">
        <is>
          <t>991002260569702656</t>
        </is>
      </c>
      <c r="AY698" t="inlineStr">
        <is>
          <t>2272686170002656</t>
        </is>
      </c>
      <c r="AZ698" t="inlineStr">
        <is>
          <t>BOOK</t>
        </is>
      </c>
      <c r="BB698" t="inlineStr">
        <is>
          <t>9780800601065</t>
        </is>
      </c>
      <c r="BC698" t="inlineStr">
        <is>
          <t>32285000967843</t>
        </is>
      </c>
      <c r="BD698" t="inlineStr">
        <is>
          <t>893609655</t>
        </is>
      </c>
    </row>
    <row r="699">
      <c r="A699" t="inlineStr">
        <is>
          <t>No</t>
        </is>
      </c>
      <c r="B699" t="inlineStr">
        <is>
          <t>BV4638 .E4413 1973</t>
        </is>
      </c>
      <c r="C699" t="inlineStr">
        <is>
          <t>0                      BV 4638000E  4413        1973</t>
        </is>
      </c>
      <c r="D699" t="inlineStr">
        <is>
          <t>Hope in time of abandonment / by Jacques Ellul. Translated by C. Edward Hopkin.</t>
        </is>
      </c>
      <c r="F699" t="inlineStr">
        <is>
          <t>No</t>
        </is>
      </c>
      <c r="G699" t="inlineStr">
        <is>
          <t>1</t>
        </is>
      </c>
      <c r="H699" t="inlineStr">
        <is>
          <t>No</t>
        </is>
      </c>
      <c r="I699" t="inlineStr">
        <is>
          <t>No</t>
        </is>
      </c>
      <c r="J699" t="inlineStr">
        <is>
          <t>0</t>
        </is>
      </c>
      <c r="K699" t="inlineStr">
        <is>
          <t>Ellul, Jacques, 1912-1994.</t>
        </is>
      </c>
      <c r="L699" t="inlineStr">
        <is>
          <t>New York : Seabury Press, [1973]</t>
        </is>
      </c>
      <c r="M699" t="inlineStr">
        <is>
          <t>1973</t>
        </is>
      </c>
      <c r="O699" t="inlineStr">
        <is>
          <t>eng</t>
        </is>
      </c>
      <c r="P699" t="inlineStr">
        <is>
          <t>nyu</t>
        </is>
      </c>
      <c r="R699" t="inlineStr">
        <is>
          <t xml:space="preserve">BV </t>
        </is>
      </c>
      <c r="S699" t="n">
        <v>3</v>
      </c>
      <c r="T699" t="n">
        <v>3</v>
      </c>
      <c r="U699" t="inlineStr">
        <is>
          <t>2005-01-03</t>
        </is>
      </c>
      <c r="V699" t="inlineStr">
        <is>
          <t>2005-01-03</t>
        </is>
      </c>
      <c r="W699" t="inlineStr">
        <is>
          <t>1992-03-02</t>
        </is>
      </c>
      <c r="X699" t="inlineStr">
        <is>
          <t>1992-03-02</t>
        </is>
      </c>
      <c r="Y699" t="n">
        <v>664</v>
      </c>
      <c r="Z699" t="n">
        <v>579</v>
      </c>
      <c r="AA699" t="n">
        <v>594</v>
      </c>
      <c r="AB699" t="n">
        <v>5</v>
      </c>
      <c r="AC699" t="n">
        <v>5</v>
      </c>
      <c r="AD699" t="n">
        <v>34</v>
      </c>
      <c r="AE699" t="n">
        <v>34</v>
      </c>
      <c r="AF699" t="n">
        <v>13</v>
      </c>
      <c r="AG699" t="n">
        <v>13</v>
      </c>
      <c r="AH699" t="n">
        <v>8</v>
      </c>
      <c r="AI699" t="n">
        <v>8</v>
      </c>
      <c r="AJ699" t="n">
        <v>18</v>
      </c>
      <c r="AK699" t="n">
        <v>18</v>
      </c>
      <c r="AL699" t="n">
        <v>3</v>
      </c>
      <c r="AM699" t="n">
        <v>3</v>
      </c>
      <c r="AN699" t="n">
        <v>0</v>
      </c>
      <c r="AO699" t="n">
        <v>0</v>
      </c>
      <c r="AP699" t="inlineStr">
        <is>
          <t>No</t>
        </is>
      </c>
      <c r="AQ699" t="inlineStr">
        <is>
          <t>Yes</t>
        </is>
      </c>
      <c r="AR699">
        <f>HYPERLINK("http://catalog.hathitrust.org/Record/001401057","HathiTrust Record")</f>
        <v/>
      </c>
      <c r="AS699">
        <f>HYPERLINK("https://creighton-primo.hosted.exlibrisgroup.com/primo-explore/search?tab=default_tab&amp;search_scope=EVERYTHING&amp;vid=01CRU&amp;lang=en_US&amp;offset=0&amp;query=any,contains,991003101029702656","Catalog Record")</f>
        <v/>
      </c>
      <c r="AT699">
        <f>HYPERLINK("http://www.worldcat.org/oclc/649938","WorldCat Record")</f>
        <v/>
      </c>
      <c r="AU699" t="inlineStr">
        <is>
          <t>179421098:eng</t>
        </is>
      </c>
      <c r="AV699" t="inlineStr">
        <is>
          <t>649938</t>
        </is>
      </c>
      <c r="AW699" t="inlineStr">
        <is>
          <t>991003101029702656</t>
        </is>
      </c>
      <c r="AX699" t="inlineStr">
        <is>
          <t>991003101029702656</t>
        </is>
      </c>
      <c r="AY699" t="inlineStr">
        <is>
          <t>2258974010002656</t>
        </is>
      </c>
      <c r="AZ699" t="inlineStr">
        <is>
          <t>BOOK</t>
        </is>
      </c>
      <c r="BB699" t="inlineStr">
        <is>
          <t>9780816402472</t>
        </is>
      </c>
      <c r="BC699" t="inlineStr">
        <is>
          <t>32285000967868</t>
        </is>
      </c>
      <c r="BD699" t="inlineStr">
        <is>
          <t>893518153</t>
        </is>
      </c>
    </row>
    <row r="700">
      <c r="A700" t="inlineStr">
        <is>
          <t>No</t>
        </is>
      </c>
      <c r="B700" t="inlineStr">
        <is>
          <t>BV4638 .F84 1970</t>
        </is>
      </c>
      <c r="C700" t="inlineStr">
        <is>
          <t>0                      BV 4638000F  84          1970</t>
        </is>
      </c>
      <c r="D700" t="inlineStr">
        <is>
          <t>The Future of hope : [essays by Bloch, Fackenheim, Moltmann, Metz, Capps] / edited by Walter H. Capps.</t>
        </is>
      </c>
      <c r="F700" t="inlineStr">
        <is>
          <t>No</t>
        </is>
      </c>
      <c r="G700" t="inlineStr">
        <is>
          <t>1</t>
        </is>
      </c>
      <c r="H700" t="inlineStr">
        <is>
          <t>No</t>
        </is>
      </c>
      <c r="I700" t="inlineStr">
        <is>
          <t>No</t>
        </is>
      </c>
      <c r="J700" t="inlineStr">
        <is>
          <t>0</t>
        </is>
      </c>
      <c r="L700" t="inlineStr">
        <is>
          <t>Philadelphia : Fortress Press, [1970]</t>
        </is>
      </c>
      <c r="M700" t="inlineStr">
        <is>
          <t>1970</t>
        </is>
      </c>
      <c r="O700" t="inlineStr">
        <is>
          <t>eng</t>
        </is>
      </c>
      <c r="P700" t="inlineStr">
        <is>
          <t>pau</t>
        </is>
      </c>
      <c r="R700" t="inlineStr">
        <is>
          <t xml:space="preserve">BV </t>
        </is>
      </c>
      <c r="S700" t="n">
        <v>1</v>
      </c>
      <c r="T700" t="n">
        <v>1</v>
      </c>
      <c r="U700" t="inlineStr">
        <is>
          <t>1998-04-17</t>
        </is>
      </c>
      <c r="V700" t="inlineStr">
        <is>
          <t>1998-04-17</t>
        </is>
      </c>
      <c r="W700" t="inlineStr">
        <is>
          <t>1992-03-02</t>
        </is>
      </c>
      <c r="X700" t="inlineStr">
        <is>
          <t>1992-03-02</t>
        </is>
      </c>
      <c r="Y700" t="n">
        <v>404</v>
      </c>
      <c r="Z700" t="n">
        <v>364</v>
      </c>
      <c r="AA700" t="n">
        <v>386</v>
      </c>
      <c r="AB700" t="n">
        <v>2</v>
      </c>
      <c r="AC700" t="n">
        <v>2</v>
      </c>
      <c r="AD700" t="n">
        <v>26</v>
      </c>
      <c r="AE700" t="n">
        <v>27</v>
      </c>
      <c r="AF700" t="n">
        <v>10</v>
      </c>
      <c r="AG700" t="n">
        <v>11</v>
      </c>
      <c r="AH700" t="n">
        <v>7</v>
      </c>
      <c r="AI700" t="n">
        <v>7</v>
      </c>
      <c r="AJ700" t="n">
        <v>17</v>
      </c>
      <c r="AK700" t="n">
        <v>17</v>
      </c>
      <c r="AL700" t="n">
        <v>1</v>
      </c>
      <c r="AM700" t="n">
        <v>1</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HYPERLINK("https://creighton-primo.hosted.exlibrisgroup.com/primo-explore/search?tab=default_tab&amp;search_scope=EVERYTHING&amp;vid=01CRU&amp;lang=en_US&amp;offset=0&amp;query=any,contains,991000518719702656","Catalog Record")</f>
        <v/>
      </c>
      <c r="AT700">
        <f>HYPERLINK("http://www.worldcat.org/oclc/87176","WorldCat Record")</f>
        <v/>
      </c>
      <c r="AU700" t="inlineStr">
        <is>
          <t>57581104:eng</t>
        </is>
      </c>
      <c r="AV700" t="inlineStr">
        <is>
          <t>87176</t>
        </is>
      </c>
      <c r="AW700" t="inlineStr">
        <is>
          <t>991000518719702656</t>
        </is>
      </c>
      <c r="AX700" t="inlineStr">
        <is>
          <t>991000518719702656</t>
        </is>
      </c>
      <c r="AY700" t="inlineStr">
        <is>
          <t>2268804210002656</t>
        </is>
      </c>
      <c r="AZ700" t="inlineStr">
        <is>
          <t>BOOK</t>
        </is>
      </c>
      <c r="BC700" t="inlineStr">
        <is>
          <t>32285000967876</t>
        </is>
      </c>
      <c r="BD700" t="inlineStr">
        <is>
          <t>893790591</t>
        </is>
      </c>
    </row>
    <row r="701">
      <c r="A701" t="inlineStr">
        <is>
          <t>No</t>
        </is>
      </c>
      <c r="B701" t="inlineStr">
        <is>
          <t>BV4638 .G73 2001</t>
        </is>
      </c>
      <c r="C701" t="inlineStr">
        <is>
          <t>0                      BV 4638000G  73          2001</t>
        </is>
      </c>
      <c r="D701" t="inlineStr">
        <is>
          <t>The outrageous pursuit of hope : prophetic dreams for the twenty-first century / Mary C. Grey.</t>
        </is>
      </c>
      <c r="F701" t="inlineStr">
        <is>
          <t>No</t>
        </is>
      </c>
      <c r="G701" t="inlineStr">
        <is>
          <t>1</t>
        </is>
      </c>
      <c r="H701" t="inlineStr">
        <is>
          <t>No</t>
        </is>
      </c>
      <c r="I701" t="inlineStr">
        <is>
          <t>No</t>
        </is>
      </c>
      <c r="J701" t="inlineStr">
        <is>
          <t>0</t>
        </is>
      </c>
      <c r="K701" t="inlineStr">
        <is>
          <t>Grey, Mary C.</t>
        </is>
      </c>
      <c r="L701" t="inlineStr">
        <is>
          <t>New York : Crossroad Pub. Co., c2001.</t>
        </is>
      </c>
      <c r="M701" t="inlineStr">
        <is>
          <t>2001</t>
        </is>
      </c>
      <c r="O701" t="inlineStr">
        <is>
          <t>eng</t>
        </is>
      </c>
      <c r="P701" t="inlineStr">
        <is>
          <t>nyu</t>
        </is>
      </c>
      <c r="R701" t="inlineStr">
        <is>
          <t xml:space="preserve">BV </t>
        </is>
      </c>
      <c r="S701" t="n">
        <v>2</v>
      </c>
      <c r="T701" t="n">
        <v>2</v>
      </c>
      <c r="U701" t="inlineStr">
        <is>
          <t>2001-06-21</t>
        </is>
      </c>
      <c r="V701" t="inlineStr">
        <is>
          <t>2001-06-21</t>
        </is>
      </c>
      <c r="W701" t="inlineStr">
        <is>
          <t>2001-04-03</t>
        </is>
      </c>
      <c r="X701" t="inlineStr">
        <is>
          <t>2001-04-03</t>
        </is>
      </c>
      <c r="Y701" t="n">
        <v>57</v>
      </c>
      <c r="Z701" t="n">
        <v>50</v>
      </c>
      <c r="AA701" t="n">
        <v>70</v>
      </c>
      <c r="AB701" t="n">
        <v>1</v>
      </c>
      <c r="AC701" t="n">
        <v>1</v>
      </c>
      <c r="AD701" t="n">
        <v>7</v>
      </c>
      <c r="AE701" t="n">
        <v>8</v>
      </c>
      <c r="AF701" t="n">
        <v>1</v>
      </c>
      <c r="AG701" t="n">
        <v>1</v>
      </c>
      <c r="AH701" t="n">
        <v>2</v>
      </c>
      <c r="AI701" t="n">
        <v>3</v>
      </c>
      <c r="AJ701" t="n">
        <v>6</v>
      </c>
      <c r="AK701" t="n">
        <v>7</v>
      </c>
      <c r="AL701" t="n">
        <v>0</v>
      </c>
      <c r="AM701" t="n">
        <v>0</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HYPERLINK("https://creighton-primo.hosted.exlibrisgroup.com/primo-explore/search?tab=default_tab&amp;search_scope=EVERYTHING&amp;vid=01CRU&amp;lang=en_US&amp;offset=0&amp;query=any,contains,991003517979702656","Catalog Record")</f>
        <v/>
      </c>
      <c r="AT701">
        <f>HYPERLINK("http://www.worldcat.org/oclc/44972160","WorldCat Record")</f>
        <v/>
      </c>
      <c r="AU701" t="inlineStr">
        <is>
          <t>838348385:eng</t>
        </is>
      </c>
      <c r="AV701" t="inlineStr">
        <is>
          <t>44972160</t>
        </is>
      </c>
      <c r="AW701" t="inlineStr">
        <is>
          <t>991003517979702656</t>
        </is>
      </c>
      <c r="AX701" t="inlineStr">
        <is>
          <t>991003517979702656</t>
        </is>
      </c>
      <c r="AY701" t="inlineStr">
        <is>
          <t>2270343160002656</t>
        </is>
      </c>
      <c r="AZ701" t="inlineStr">
        <is>
          <t>BOOK</t>
        </is>
      </c>
      <c r="BB701" t="inlineStr">
        <is>
          <t>9780824518820</t>
        </is>
      </c>
      <c r="BC701" t="inlineStr">
        <is>
          <t>32285004309596</t>
        </is>
      </c>
      <c r="BD701" t="inlineStr">
        <is>
          <t>893531255</t>
        </is>
      </c>
    </row>
    <row r="702">
      <c r="A702" t="inlineStr">
        <is>
          <t>No</t>
        </is>
      </c>
      <c r="B702" t="inlineStr">
        <is>
          <t>BV4638 .M32 1978</t>
        </is>
      </c>
      <c r="C702" t="inlineStr">
        <is>
          <t>0                      BV 4638000M  32          1978</t>
        </is>
      </c>
      <c r="D702" t="inlineStr">
        <is>
          <t>Christian hope / John Macquarrie.</t>
        </is>
      </c>
      <c r="F702" t="inlineStr">
        <is>
          <t>No</t>
        </is>
      </c>
      <c r="G702" t="inlineStr">
        <is>
          <t>1</t>
        </is>
      </c>
      <c r="H702" t="inlineStr">
        <is>
          <t>No</t>
        </is>
      </c>
      <c r="I702" t="inlineStr">
        <is>
          <t>No</t>
        </is>
      </c>
      <c r="J702" t="inlineStr">
        <is>
          <t>0</t>
        </is>
      </c>
      <c r="K702" t="inlineStr">
        <is>
          <t>Macquarrie, John.</t>
        </is>
      </c>
      <c r="L702" t="inlineStr">
        <is>
          <t>New York : Seabury, 1978.</t>
        </is>
      </c>
      <c r="M702" t="inlineStr">
        <is>
          <t>1978</t>
        </is>
      </c>
      <c r="O702" t="inlineStr">
        <is>
          <t>eng</t>
        </is>
      </c>
      <c r="P702" t="inlineStr">
        <is>
          <t>nyu</t>
        </is>
      </c>
      <c r="R702" t="inlineStr">
        <is>
          <t xml:space="preserve">BV </t>
        </is>
      </c>
      <c r="S702" t="n">
        <v>3</v>
      </c>
      <c r="T702" t="n">
        <v>3</v>
      </c>
      <c r="U702" t="inlineStr">
        <is>
          <t>1996-11-12</t>
        </is>
      </c>
      <c r="V702" t="inlineStr">
        <is>
          <t>1996-11-12</t>
        </is>
      </c>
      <c r="W702" t="inlineStr">
        <is>
          <t>1992-03-02</t>
        </is>
      </c>
      <c r="X702" t="inlineStr">
        <is>
          <t>1992-03-02</t>
        </is>
      </c>
      <c r="Y702" t="n">
        <v>411</v>
      </c>
      <c r="Z702" t="n">
        <v>371</v>
      </c>
      <c r="AA702" t="n">
        <v>396</v>
      </c>
      <c r="AB702" t="n">
        <v>6</v>
      </c>
      <c r="AC702" t="n">
        <v>6</v>
      </c>
      <c r="AD702" t="n">
        <v>36</v>
      </c>
      <c r="AE702" t="n">
        <v>37</v>
      </c>
      <c r="AF702" t="n">
        <v>13</v>
      </c>
      <c r="AG702" t="n">
        <v>13</v>
      </c>
      <c r="AH702" t="n">
        <v>7</v>
      </c>
      <c r="AI702" t="n">
        <v>7</v>
      </c>
      <c r="AJ702" t="n">
        <v>23</v>
      </c>
      <c r="AK702" t="n">
        <v>24</v>
      </c>
      <c r="AL702" t="n">
        <v>4</v>
      </c>
      <c r="AM702" t="n">
        <v>4</v>
      </c>
      <c r="AN702" t="n">
        <v>0</v>
      </c>
      <c r="AO702" t="n">
        <v>0</v>
      </c>
      <c r="AP702" t="inlineStr">
        <is>
          <t>No</t>
        </is>
      </c>
      <c r="AQ702" t="inlineStr">
        <is>
          <t>Yes</t>
        </is>
      </c>
      <c r="AR702">
        <f>HYPERLINK("http://catalog.hathitrust.org/Record/007115372","HathiTrust Record")</f>
        <v/>
      </c>
      <c r="AS702">
        <f>HYPERLINK("https://creighton-primo.hosted.exlibrisgroup.com/primo-explore/search?tab=default_tab&amp;search_scope=EVERYTHING&amp;vid=01CRU&amp;lang=en_US&amp;offset=0&amp;query=any,contains,991004589989702656","Catalog Record")</f>
        <v/>
      </c>
      <c r="AT702">
        <f>HYPERLINK("http://www.worldcat.org/oclc/4114608","WorldCat Record")</f>
        <v/>
      </c>
      <c r="AU702" t="inlineStr">
        <is>
          <t>14522967:eng</t>
        </is>
      </c>
      <c r="AV702" t="inlineStr">
        <is>
          <t>4114608</t>
        </is>
      </c>
      <c r="AW702" t="inlineStr">
        <is>
          <t>991004589989702656</t>
        </is>
      </c>
      <c r="AX702" t="inlineStr">
        <is>
          <t>991004589989702656</t>
        </is>
      </c>
      <c r="AY702" t="inlineStr">
        <is>
          <t>2271937330002656</t>
        </is>
      </c>
      <c r="AZ702" t="inlineStr">
        <is>
          <t>BOOK</t>
        </is>
      </c>
      <c r="BB702" t="inlineStr">
        <is>
          <t>9780816403882</t>
        </is>
      </c>
      <c r="BC702" t="inlineStr">
        <is>
          <t>32285000967926</t>
        </is>
      </c>
      <c r="BD702" t="inlineStr">
        <is>
          <t>893895186</t>
        </is>
      </c>
    </row>
    <row r="703">
      <c r="A703" t="inlineStr">
        <is>
          <t>No</t>
        </is>
      </c>
      <c r="B703" t="inlineStr">
        <is>
          <t>BV4638 .M5513</t>
        </is>
      </c>
      <c r="C703" t="inlineStr">
        <is>
          <t>0                      BV 4638000M  5513</t>
        </is>
      </c>
      <c r="D703" t="inlineStr">
        <is>
          <t>The experiment hope / Jürgen Moltmann ; edited, translated, with a foreword by M. Douglas Meeks.</t>
        </is>
      </c>
      <c r="F703" t="inlineStr">
        <is>
          <t>No</t>
        </is>
      </c>
      <c r="G703" t="inlineStr">
        <is>
          <t>1</t>
        </is>
      </c>
      <c r="H703" t="inlineStr">
        <is>
          <t>No</t>
        </is>
      </c>
      <c r="I703" t="inlineStr">
        <is>
          <t>No</t>
        </is>
      </c>
      <c r="J703" t="inlineStr">
        <is>
          <t>0</t>
        </is>
      </c>
      <c r="K703" t="inlineStr">
        <is>
          <t>Moltmann, Jürgen.</t>
        </is>
      </c>
      <c r="L703" t="inlineStr">
        <is>
          <t>Philadelphia : Fortress Press, [1975]</t>
        </is>
      </c>
      <c r="M703" t="inlineStr">
        <is>
          <t>1975</t>
        </is>
      </c>
      <c r="O703" t="inlineStr">
        <is>
          <t>eng</t>
        </is>
      </c>
      <c r="P703" t="inlineStr">
        <is>
          <t>pau</t>
        </is>
      </c>
      <c r="R703" t="inlineStr">
        <is>
          <t xml:space="preserve">BV </t>
        </is>
      </c>
      <c r="S703" t="n">
        <v>2</v>
      </c>
      <c r="T703" t="n">
        <v>2</v>
      </c>
      <c r="U703" t="inlineStr">
        <is>
          <t>1997-09-25</t>
        </is>
      </c>
      <c r="V703" t="inlineStr">
        <is>
          <t>1997-09-25</t>
        </is>
      </c>
      <c r="W703" t="inlineStr">
        <is>
          <t>1992-03-02</t>
        </is>
      </c>
      <c r="X703" t="inlineStr">
        <is>
          <t>1992-03-02</t>
        </is>
      </c>
      <c r="Y703" t="n">
        <v>601</v>
      </c>
      <c r="Z703" t="n">
        <v>517</v>
      </c>
      <c r="AA703" t="n">
        <v>525</v>
      </c>
      <c r="AB703" t="n">
        <v>8</v>
      </c>
      <c r="AC703" t="n">
        <v>8</v>
      </c>
      <c r="AD703" t="n">
        <v>37</v>
      </c>
      <c r="AE703" t="n">
        <v>38</v>
      </c>
      <c r="AF703" t="n">
        <v>12</v>
      </c>
      <c r="AG703" t="n">
        <v>13</v>
      </c>
      <c r="AH703" t="n">
        <v>6</v>
      </c>
      <c r="AI703" t="n">
        <v>6</v>
      </c>
      <c r="AJ703" t="n">
        <v>22</v>
      </c>
      <c r="AK703" t="n">
        <v>22</v>
      </c>
      <c r="AL703" t="n">
        <v>7</v>
      </c>
      <c r="AM703" t="n">
        <v>7</v>
      </c>
      <c r="AN703" t="n">
        <v>0</v>
      </c>
      <c r="AO703" t="n">
        <v>0</v>
      </c>
      <c r="AP703" t="inlineStr">
        <is>
          <t>No</t>
        </is>
      </c>
      <c r="AQ703" t="inlineStr">
        <is>
          <t>Yes</t>
        </is>
      </c>
      <c r="AR703">
        <f>HYPERLINK("http://catalog.hathitrust.org/Record/007112911","HathiTrust Record")</f>
        <v/>
      </c>
      <c r="AS703">
        <f>HYPERLINK("https://creighton-primo.hosted.exlibrisgroup.com/primo-explore/search?tab=default_tab&amp;search_scope=EVERYTHING&amp;vid=01CRU&amp;lang=en_US&amp;offset=0&amp;query=any,contains,991003758719702656","Catalog Record")</f>
        <v/>
      </c>
      <c r="AT703">
        <f>HYPERLINK("http://www.worldcat.org/oclc/1442591","WorldCat Record")</f>
        <v/>
      </c>
      <c r="AU703" t="inlineStr">
        <is>
          <t>350501659:eng</t>
        </is>
      </c>
      <c r="AV703" t="inlineStr">
        <is>
          <t>1442591</t>
        </is>
      </c>
      <c r="AW703" t="inlineStr">
        <is>
          <t>991003758719702656</t>
        </is>
      </c>
      <c r="AX703" t="inlineStr">
        <is>
          <t>991003758719702656</t>
        </is>
      </c>
      <c r="AY703" t="inlineStr">
        <is>
          <t>2256715290002656</t>
        </is>
      </c>
      <c r="AZ703" t="inlineStr">
        <is>
          <t>BOOK</t>
        </is>
      </c>
      <c r="BB703" t="inlineStr">
        <is>
          <t>9780800604073</t>
        </is>
      </c>
      <c r="BC703" t="inlineStr">
        <is>
          <t>32285000967934</t>
        </is>
      </c>
      <c r="BD703" t="inlineStr">
        <is>
          <t>893429165</t>
        </is>
      </c>
    </row>
    <row r="704">
      <c r="A704" t="inlineStr">
        <is>
          <t>No</t>
        </is>
      </c>
      <c r="B704" t="inlineStr">
        <is>
          <t>BV4638 .M6 1963</t>
        </is>
      </c>
      <c r="C704" t="inlineStr">
        <is>
          <t>0                      BV 4638000M  6           1963</t>
        </is>
      </c>
      <c r="D704" t="inlineStr">
        <is>
          <t>The meaning of hope : a biblical exposition with concordance / by C.F.D. Moule.</t>
        </is>
      </c>
      <c r="F704" t="inlineStr">
        <is>
          <t>No</t>
        </is>
      </c>
      <c r="G704" t="inlineStr">
        <is>
          <t>1</t>
        </is>
      </c>
      <c r="H704" t="inlineStr">
        <is>
          <t>No</t>
        </is>
      </c>
      <c r="I704" t="inlineStr">
        <is>
          <t>No</t>
        </is>
      </c>
      <c r="J704" t="inlineStr">
        <is>
          <t>0</t>
        </is>
      </c>
      <c r="K704" t="inlineStr">
        <is>
          <t>Moule, C. F. D. (Charles Francis Digby), 1908-2007.</t>
        </is>
      </c>
      <c r="L704" t="inlineStr">
        <is>
          <t>Philadelphia, Fortress Press [1963]</t>
        </is>
      </c>
      <c r="M704" t="inlineStr">
        <is>
          <t>1963</t>
        </is>
      </c>
      <c r="O704" t="inlineStr">
        <is>
          <t>eng</t>
        </is>
      </c>
      <c r="P704" t="inlineStr">
        <is>
          <t>pau</t>
        </is>
      </c>
      <c r="Q704" t="inlineStr">
        <is>
          <t>Facet books. Biblical series ; 5</t>
        </is>
      </c>
      <c r="R704" t="inlineStr">
        <is>
          <t xml:space="preserve">BV </t>
        </is>
      </c>
      <c r="S704" t="n">
        <v>0</v>
      </c>
      <c r="T704" t="n">
        <v>0</v>
      </c>
      <c r="U704" t="inlineStr">
        <is>
          <t>2010-10-22</t>
        </is>
      </c>
      <c r="V704" t="inlineStr">
        <is>
          <t>2010-10-22</t>
        </is>
      </c>
      <c r="W704" t="inlineStr">
        <is>
          <t>1992-03-02</t>
        </is>
      </c>
      <c r="X704" t="inlineStr">
        <is>
          <t>1992-03-02</t>
        </is>
      </c>
      <c r="Y704" t="n">
        <v>290</v>
      </c>
      <c r="Z704" t="n">
        <v>248</v>
      </c>
      <c r="AA704" t="n">
        <v>252</v>
      </c>
      <c r="AB704" t="n">
        <v>3</v>
      </c>
      <c r="AC704" t="n">
        <v>3</v>
      </c>
      <c r="AD704" t="n">
        <v>22</v>
      </c>
      <c r="AE704" t="n">
        <v>22</v>
      </c>
      <c r="AF704" t="n">
        <v>10</v>
      </c>
      <c r="AG704" t="n">
        <v>10</v>
      </c>
      <c r="AH704" t="n">
        <v>5</v>
      </c>
      <c r="AI704" t="n">
        <v>5</v>
      </c>
      <c r="AJ704" t="n">
        <v>13</v>
      </c>
      <c r="AK704" t="n">
        <v>13</v>
      </c>
      <c r="AL704" t="n">
        <v>2</v>
      </c>
      <c r="AM704" t="n">
        <v>2</v>
      </c>
      <c r="AN704" t="n">
        <v>0</v>
      </c>
      <c r="AO704" t="n">
        <v>0</v>
      </c>
      <c r="AP704" t="inlineStr">
        <is>
          <t>No</t>
        </is>
      </c>
      <c r="AQ704" t="inlineStr">
        <is>
          <t>No</t>
        </is>
      </c>
      <c r="AR704">
        <f>HYPERLINK("http://catalog.hathitrust.org/Record/001414885","HathiTrust Record")</f>
        <v/>
      </c>
      <c r="AS704">
        <f>HYPERLINK("https://creighton-primo.hosted.exlibrisgroup.com/primo-explore/search?tab=default_tab&amp;search_scope=EVERYTHING&amp;vid=01CRU&amp;lang=en_US&amp;offset=0&amp;query=any,contains,991002329569702656","Catalog Record")</f>
        <v/>
      </c>
      <c r="AT704">
        <f>HYPERLINK("http://www.worldcat.org/oclc/322134","WorldCat Record")</f>
        <v/>
      </c>
      <c r="AU704" t="inlineStr">
        <is>
          <t>197368640:eng</t>
        </is>
      </c>
      <c r="AV704" t="inlineStr">
        <is>
          <t>322134</t>
        </is>
      </c>
      <c r="AW704" t="inlineStr">
        <is>
          <t>991002329569702656</t>
        </is>
      </c>
      <c r="AX704" t="inlineStr">
        <is>
          <t>991002329569702656</t>
        </is>
      </c>
      <c r="AY704" t="inlineStr">
        <is>
          <t>2255534650002656</t>
        </is>
      </c>
      <c r="AZ704" t="inlineStr">
        <is>
          <t>BOOK</t>
        </is>
      </c>
      <c r="BC704" t="inlineStr">
        <is>
          <t>32285000967959</t>
        </is>
      </c>
      <c r="BD704" t="inlineStr">
        <is>
          <t>893421211</t>
        </is>
      </c>
    </row>
    <row r="705">
      <c r="A705" t="inlineStr">
        <is>
          <t>No</t>
        </is>
      </c>
      <c r="B705" t="inlineStr">
        <is>
          <t>BV4638 .O413 1963</t>
        </is>
      </c>
      <c r="C705" t="inlineStr">
        <is>
          <t>0                      BV 4638000O  413         1963</t>
        </is>
      </c>
      <c r="D705" t="inlineStr">
        <is>
          <t>Christian hope / by Bernard Olivier. Translated by Paul Barrett.</t>
        </is>
      </c>
      <c r="F705" t="inlineStr">
        <is>
          <t>No</t>
        </is>
      </c>
      <c r="G705" t="inlineStr">
        <is>
          <t>1</t>
        </is>
      </c>
      <c r="H705" t="inlineStr">
        <is>
          <t>No</t>
        </is>
      </c>
      <c r="I705" t="inlineStr">
        <is>
          <t>No</t>
        </is>
      </c>
      <c r="J705" t="inlineStr">
        <is>
          <t>0</t>
        </is>
      </c>
      <c r="K705" t="inlineStr">
        <is>
          <t>Olivier, B. (Bernard)</t>
        </is>
      </c>
      <c r="L705" t="inlineStr">
        <is>
          <t>Westminster, Md. : Newman Press, 1963.</t>
        </is>
      </c>
      <c r="M705" t="inlineStr">
        <is>
          <t>1963</t>
        </is>
      </c>
      <c r="O705" t="inlineStr">
        <is>
          <t>eng</t>
        </is>
      </c>
      <c r="P705" t="inlineStr">
        <is>
          <t>mdu</t>
        </is>
      </c>
      <c r="R705" t="inlineStr">
        <is>
          <t xml:space="preserve">BV </t>
        </is>
      </c>
      <c r="S705" t="n">
        <v>2</v>
      </c>
      <c r="T705" t="n">
        <v>2</v>
      </c>
      <c r="U705" t="inlineStr">
        <is>
          <t>1993-02-24</t>
        </is>
      </c>
      <c r="V705" t="inlineStr">
        <is>
          <t>1993-02-24</t>
        </is>
      </c>
      <c r="W705" t="inlineStr">
        <is>
          <t>1992-03-02</t>
        </is>
      </c>
      <c r="X705" t="inlineStr">
        <is>
          <t>1992-03-02</t>
        </is>
      </c>
      <c r="Y705" t="n">
        <v>131</v>
      </c>
      <c r="Z705" t="n">
        <v>117</v>
      </c>
      <c r="AA705" t="n">
        <v>117</v>
      </c>
      <c r="AB705" t="n">
        <v>1</v>
      </c>
      <c r="AC705" t="n">
        <v>1</v>
      </c>
      <c r="AD705" t="n">
        <v>19</v>
      </c>
      <c r="AE705" t="n">
        <v>19</v>
      </c>
      <c r="AF705" t="n">
        <v>9</v>
      </c>
      <c r="AG705" t="n">
        <v>9</v>
      </c>
      <c r="AH705" t="n">
        <v>5</v>
      </c>
      <c r="AI705" t="n">
        <v>5</v>
      </c>
      <c r="AJ705" t="n">
        <v>13</v>
      </c>
      <c r="AK705" t="n">
        <v>13</v>
      </c>
      <c r="AL705" t="n">
        <v>0</v>
      </c>
      <c r="AM705" t="n">
        <v>0</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HYPERLINK("https://creighton-primo.hosted.exlibrisgroup.com/primo-explore/search?tab=default_tab&amp;search_scope=EVERYTHING&amp;vid=01CRU&amp;lang=en_US&amp;offset=0&amp;query=any,contains,991003920289702656","Catalog Record")</f>
        <v/>
      </c>
      <c r="AT705">
        <f>HYPERLINK("http://www.worldcat.org/oclc/1869502","WorldCat Record")</f>
        <v/>
      </c>
      <c r="AU705" t="inlineStr">
        <is>
          <t>2716986:eng</t>
        </is>
      </c>
      <c r="AV705" t="inlineStr">
        <is>
          <t>1869502</t>
        </is>
      </c>
      <c r="AW705" t="inlineStr">
        <is>
          <t>991003920289702656</t>
        </is>
      </c>
      <c r="AX705" t="inlineStr">
        <is>
          <t>991003920289702656</t>
        </is>
      </c>
      <c r="AY705" t="inlineStr">
        <is>
          <t>2263009660002656</t>
        </is>
      </c>
      <c r="AZ705" t="inlineStr">
        <is>
          <t>BOOK</t>
        </is>
      </c>
      <c r="BC705" t="inlineStr">
        <is>
          <t>32285000967967</t>
        </is>
      </c>
      <c r="BD705" t="inlineStr">
        <is>
          <t>893693321</t>
        </is>
      </c>
    </row>
    <row r="706">
      <c r="A706" t="inlineStr">
        <is>
          <t>No</t>
        </is>
      </c>
      <c r="B706" t="inlineStr">
        <is>
          <t>BV4639 .A3413 1990</t>
        </is>
      </c>
      <c r="C706" t="inlineStr">
        <is>
          <t>0                      BV 4639000A  3413        1990</t>
        </is>
      </c>
      <c r="D706" t="inlineStr">
        <is>
          <t>The mirror of charity / by Aelred of Rievaulx ; translated by Elizabeth Connor ; introduction and notes by Charles Dumont.</t>
        </is>
      </c>
      <c r="F706" t="inlineStr">
        <is>
          <t>No</t>
        </is>
      </c>
      <c r="G706" t="inlineStr">
        <is>
          <t>1</t>
        </is>
      </c>
      <c r="H706" t="inlineStr">
        <is>
          <t>No</t>
        </is>
      </c>
      <c r="I706" t="inlineStr">
        <is>
          <t>No</t>
        </is>
      </c>
      <c r="J706" t="inlineStr">
        <is>
          <t>0</t>
        </is>
      </c>
      <c r="K706" t="inlineStr">
        <is>
          <t>Aelred, of Rievaulx, Saint, 1110-1167.</t>
        </is>
      </c>
      <c r="L706" t="inlineStr">
        <is>
          <t>Kalamazoo, Mich. : Cistercian Publications, 1990.</t>
        </is>
      </c>
      <c r="M706" t="inlineStr">
        <is>
          <t>1990</t>
        </is>
      </c>
      <c r="O706" t="inlineStr">
        <is>
          <t>eng</t>
        </is>
      </c>
      <c r="P706" t="inlineStr">
        <is>
          <t>miu</t>
        </is>
      </c>
      <c r="Q706" t="inlineStr">
        <is>
          <t>Cistercian Fathers series ; no. 17</t>
        </is>
      </c>
      <c r="R706" t="inlineStr">
        <is>
          <t xml:space="preserve">BV </t>
        </is>
      </c>
      <c r="S706" t="n">
        <v>4</v>
      </c>
      <c r="T706" t="n">
        <v>4</v>
      </c>
      <c r="U706" t="inlineStr">
        <is>
          <t>2008-07-14</t>
        </is>
      </c>
      <c r="V706" t="inlineStr">
        <is>
          <t>2008-07-14</t>
        </is>
      </c>
      <c r="W706" t="inlineStr">
        <is>
          <t>1991-05-01</t>
        </is>
      </c>
      <c r="X706" t="inlineStr">
        <is>
          <t>1991-05-01</t>
        </is>
      </c>
      <c r="Y706" t="n">
        <v>179</v>
      </c>
      <c r="Z706" t="n">
        <v>133</v>
      </c>
      <c r="AA706" t="n">
        <v>209</v>
      </c>
      <c r="AB706" t="n">
        <v>1</v>
      </c>
      <c r="AC706" t="n">
        <v>1</v>
      </c>
      <c r="AD706" t="n">
        <v>12</v>
      </c>
      <c r="AE706" t="n">
        <v>22</v>
      </c>
      <c r="AF706" t="n">
        <v>7</v>
      </c>
      <c r="AG706" t="n">
        <v>9</v>
      </c>
      <c r="AH706" t="n">
        <v>3</v>
      </c>
      <c r="AI706" t="n">
        <v>6</v>
      </c>
      <c r="AJ706" t="n">
        <v>8</v>
      </c>
      <c r="AK706" t="n">
        <v>16</v>
      </c>
      <c r="AL706" t="n">
        <v>0</v>
      </c>
      <c r="AM706" t="n">
        <v>0</v>
      </c>
      <c r="AN706" t="n">
        <v>0</v>
      </c>
      <c r="AO706" t="n">
        <v>0</v>
      </c>
      <c r="AP706" t="inlineStr">
        <is>
          <t>No</t>
        </is>
      </c>
      <c r="AQ706" t="inlineStr">
        <is>
          <t>Yes</t>
        </is>
      </c>
      <c r="AR706">
        <f>HYPERLINK("http://catalog.hathitrust.org/Record/002431261","HathiTrust Record")</f>
        <v/>
      </c>
      <c r="AS706">
        <f>HYPERLINK("https://creighton-primo.hosted.exlibrisgroup.com/primo-explore/search?tab=default_tab&amp;search_scope=EVERYTHING&amp;vid=01CRU&amp;lang=en_US&amp;offset=0&amp;query=any,contains,991001811089702656","Catalog Record")</f>
        <v/>
      </c>
      <c r="AT706">
        <f>HYPERLINK("http://www.worldcat.org/oclc/22738002","WorldCat Record")</f>
        <v/>
      </c>
      <c r="AU706" t="inlineStr">
        <is>
          <t>48793706:eng</t>
        </is>
      </c>
      <c r="AV706" t="inlineStr">
        <is>
          <t>22738002</t>
        </is>
      </c>
      <c r="AW706" t="inlineStr">
        <is>
          <t>991001811089702656</t>
        </is>
      </c>
      <c r="AX706" t="inlineStr">
        <is>
          <t>991001811089702656</t>
        </is>
      </c>
      <c r="AY706" t="inlineStr">
        <is>
          <t>2256086890002656</t>
        </is>
      </c>
      <c r="AZ706" t="inlineStr">
        <is>
          <t>BOOK</t>
        </is>
      </c>
      <c r="BB706" t="inlineStr">
        <is>
          <t>9780879077174</t>
        </is>
      </c>
      <c r="BC706" t="inlineStr">
        <is>
          <t>32285000570951</t>
        </is>
      </c>
      <c r="BD706" t="inlineStr">
        <is>
          <t>893626837</t>
        </is>
      </c>
    </row>
    <row r="707">
      <c r="A707" t="inlineStr">
        <is>
          <t>No</t>
        </is>
      </c>
      <c r="B707" t="inlineStr">
        <is>
          <t>BV4639 .B69 2004</t>
        </is>
      </c>
      <c r="C707" t="inlineStr">
        <is>
          <t>0                      BV 4639000B  69          2004</t>
        </is>
      </c>
      <c r="D707" t="inlineStr">
        <is>
          <t>Repenting of religion : turning from judgment to the love of God / Gregory A. Boyd.</t>
        </is>
      </c>
      <c r="F707" t="inlineStr">
        <is>
          <t>No</t>
        </is>
      </c>
      <c r="G707" t="inlineStr">
        <is>
          <t>1</t>
        </is>
      </c>
      <c r="H707" t="inlineStr">
        <is>
          <t>No</t>
        </is>
      </c>
      <c r="I707" t="inlineStr">
        <is>
          <t>No</t>
        </is>
      </c>
      <c r="J707" t="inlineStr">
        <is>
          <t>0</t>
        </is>
      </c>
      <c r="K707" t="inlineStr">
        <is>
          <t>Boyd, Gregory A., 1957-</t>
        </is>
      </c>
      <c r="L707" t="inlineStr">
        <is>
          <t>Grand Rapids, Mich. : Baker Books, c2004.</t>
        </is>
      </c>
      <c r="M707" t="inlineStr">
        <is>
          <t>2004</t>
        </is>
      </c>
      <c r="O707" t="inlineStr">
        <is>
          <t>eng</t>
        </is>
      </c>
      <c r="P707" t="inlineStr">
        <is>
          <t>miu</t>
        </is>
      </c>
      <c r="R707" t="inlineStr">
        <is>
          <t xml:space="preserve">BV </t>
        </is>
      </c>
      <c r="S707" t="n">
        <v>2</v>
      </c>
      <c r="T707" t="n">
        <v>2</v>
      </c>
      <c r="U707" t="inlineStr">
        <is>
          <t>2010-10-06</t>
        </is>
      </c>
      <c r="V707" t="inlineStr">
        <is>
          <t>2010-10-06</t>
        </is>
      </c>
      <c r="W707" t="inlineStr">
        <is>
          <t>2004-11-17</t>
        </is>
      </c>
      <c r="X707" t="inlineStr">
        <is>
          <t>2004-11-17</t>
        </is>
      </c>
      <c r="Y707" t="n">
        <v>109</v>
      </c>
      <c r="Z707" t="n">
        <v>98</v>
      </c>
      <c r="AA707" t="n">
        <v>104</v>
      </c>
      <c r="AB707" t="n">
        <v>1</v>
      </c>
      <c r="AC707" t="n">
        <v>1</v>
      </c>
      <c r="AD707" t="n">
        <v>6</v>
      </c>
      <c r="AE707" t="n">
        <v>7</v>
      </c>
      <c r="AF707" t="n">
        <v>3</v>
      </c>
      <c r="AG707" t="n">
        <v>4</v>
      </c>
      <c r="AH707" t="n">
        <v>2</v>
      </c>
      <c r="AI707" t="n">
        <v>3</v>
      </c>
      <c r="AJ707" t="n">
        <v>4</v>
      </c>
      <c r="AK707" t="n">
        <v>4</v>
      </c>
      <c r="AL707" t="n">
        <v>0</v>
      </c>
      <c r="AM707" t="n">
        <v>0</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HYPERLINK("https://creighton-primo.hosted.exlibrisgroup.com/primo-explore/search?tab=default_tab&amp;search_scope=EVERYTHING&amp;vid=01CRU&amp;lang=en_US&amp;offset=0&amp;query=any,contains,991004423079702656","Catalog Record")</f>
        <v/>
      </c>
      <c r="AT707">
        <f>HYPERLINK("http://www.worldcat.org/oclc/54611367","WorldCat Record")</f>
        <v/>
      </c>
      <c r="AU707" t="inlineStr">
        <is>
          <t>959318:eng</t>
        </is>
      </c>
      <c r="AV707" t="inlineStr">
        <is>
          <t>54611367</t>
        </is>
      </c>
      <c r="AW707" t="inlineStr">
        <is>
          <t>991004423079702656</t>
        </is>
      </c>
      <c r="AX707" t="inlineStr">
        <is>
          <t>991004423079702656</t>
        </is>
      </c>
      <c r="AY707" t="inlineStr">
        <is>
          <t>2269471320002656</t>
        </is>
      </c>
      <c r="AZ707" t="inlineStr">
        <is>
          <t>BOOK</t>
        </is>
      </c>
      <c r="BB707" t="inlineStr">
        <is>
          <t>9780801065064</t>
        </is>
      </c>
      <c r="BC707" t="inlineStr">
        <is>
          <t>32285005010771</t>
        </is>
      </c>
      <c r="BD707" t="inlineStr">
        <is>
          <t>893788683</t>
        </is>
      </c>
    </row>
    <row r="708">
      <c r="A708" t="inlineStr">
        <is>
          <t>No</t>
        </is>
      </c>
      <c r="B708" t="inlineStr">
        <is>
          <t>BV4639 .B72 2003</t>
        </is>
      </c>
      <c r="C708" t="inlineStr">
        <is>
          <t>0                      BV 4639000B  72          2003</t>
        </is>
      </c>
      <c r="D708" t="inlineStr">
        <is>
          <t>Christian love / Bernard V. Brady.</t>
        </is>
      </c>
      <c r="F708" t="inlineStr">
        <is>
          <t>No</t>
        </is>
      </c>
      <c r="G708" t="inlineStr">
        <is>
          <t>1</t>
        </is>
      </c>
      <c r="H708" t="inlineStr">
        <is>
          <t>No</t>
        </is>
      </c>
      <c r="I708" t="inlineStr">
        <is>
          <t>No</t>
        </is>
      </c>
      <c r="J708" t="inlineStr">
        <is>
          <t>0</t>
        </is>
      </c>
      <c r="K708" t="inlineStr">
        <is>
          <t>Brady, Bernard V. (Bernard Vincent), 1957-</t>
        </is>
      </c>
      <c r="L708" t="inlineStr">
        <is>
          <t>Washington, D.C. : Georgetown University Press, c2003.</t>
        </is>
      </c>
      <c r="M708" t="inlineStr">
        <is>
          <t>2003</t>
        </is>
      </c>
      <c r="O708" t="inlineStr">
        <is>
          <t>eng</t>
        </is>
      </c>
      <c r="P708" t="inlineStr">
        <is>
          <t>dcu</t>
        </is>
      </c>
      <c r="R708" t="inlineStr">
        <is>
          <t xml:space="preserve">BV </t>
        </is>
      </c>
      <c r="S708" t="n">
        <v>2</v>
      </c>
      <c r="T708" t="n">
        <v>2</v>
      </c>
      <c r="U708" t="inlineStr">
        <is>
          <t>2006-02-11</t>
        </is>
      </c>
      <c r="V708" t="inlineStr">
        <is>
          <t>2006-02-11</t>
        </is>
      </c>
      <c r="W708" t="inlineStr">
        <is>
          <t>2005-11-07</t>
        </is>
      </c>
      <c r="X708" t="inlineStr">
        <is>
          <t>2005-11-07</t>
        </is>
      </c>
      <c r="Y708" t="n">
        <v>371</v>
      </c>
      <c r="Z708" t="n">
        <v>333</v>
      </c>
      <c r="AA708" t="n">
        <v>343</v>
      </c>
      <c r="AB708" t="n">
        <v>2</v>
      </c>
      <c r="AC708" t="n">
        <v>2</v>
      </c>
      <c r="AD708" t="n">
        <v>32</v>
      </c>
      <c r="AE708" t="n">
        <v>33</v>
      </c>
      <c r="AF708" t="n">
        <v>15</v>
      </c>
      <c r="AG708" t="n">
        <v>16</v>
      </c>
      <c r="AH708" t="n">
        <v>6</v>
      </c>
      <c r="AI708" t="n">
        <v>7</v>
      </c>
      <c r="AJ708" t="n">
        <v>20</v>
      </c>
      <c r="AK708" t="n">
        <v>20</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HYPERLINK("https://creighton-primo.hosted.exlibrisgroup.com/primo-explore/search?tab=default_tab&amp;search_scope=EVERYTHING&amp;vid=01CRU&amp;lang=en_US&amp;offset=0&amp;query=any,contains,991004683319702656","Catalog Record")</f>
        <v/>
      </c>
      <c r="AT708">
        <f>HYPERLINK("http://www.worldcat.org/oclc/50684735","WorldCat Record")</f>
        <v/>
      </c>
      <c r="AU708" t="inlineStr">
        <is>
          <t>1034962:eng</t>
        </is>
      </c>
      <c r="AV708" t="inlineStr">
        <is>
          <t>50684735</t>
        </is>
      </c>
      <c r="AW708" t="inlineStr">
        <is>
          <t>991004683319702656</t>
        </is>
      </c>
      <c r="AX708" t="inlineStr">
        <is>
          <t>991004683319702656</t>
        </is>
      </c>
      <c r="AY708" t="inlineStr">
        <is>
          <t>2271840410002656</t>
        </is>
      </c>
      <c r="AZ708" t="inlineStr">
        <is>
          <t>BOOK</t>
        </is>
      </c>
      <c r="BB708" t="inlineStr">
        <is>
          <t>9780878408948</t>
        </is>
      </c>
      <c r="BC708" t="inlineStr">
        <is>
          <t>32285005144299</t>
        </is>
      </c>
      <c r="BD708" t="inlineStr">
        <is>
          <t>893507114</t>
        </is>
      </c>
    </row>
    <row r="709">
      <c r="A709" t="inlineStr">
        <is>
          <t>No</t>
        </is>
      </c>
      <c r="B709" t="inlineStr">
        <is>
          <t>BV4639 .D387 1973</t>
        </is>
      </c>
      <c r="C709" t="inlineStr">
        <is>
          <t>0                      BV 4639000D  387         1973</t>
        </is>
      </c>
      <c r="D709" t="inlineStr">
        <is>
          <t>The philosophy of Jesus, real love / by Jules A. Delanghe.</t>
        </is>
      </c>
      <c r="F709" t="inlineStr">
        <is>
          <t>No</t>
        </is>
      </c>
      <c r="G709" t="inlineStr">
        <is>
          <t>1</t>
        </is>
      </c>
      <c r="H709" t="inlineStr">
        <is>
          <t>No</t>
        </is>
      </c>
      <c r="I709" t="inlineStr">
        <is>
          <t>No</t>
        </is>
      </c>
      <c r="J709" t="inlineStr">
        <is>
          <t>0</t>
        </is>
      </c>
      <c r="K709" t="inlineStr">
        <is>
          <t>Delanghe, Jules A.</t>
        </is>
      </c>
      <c r="L709" t="inlineStr">
        <is>
          <t>Philadelphia : Dorrance, c1973.</t>
        </is>
      </c>
      <c r="M709" t="inlineStr">
        <is>
          <t>1973</t>
        </is>
      </c>
      <c r="O709" t="inlineStr">
        <is>
          <t>eng</t>
        </is>
      </c>
      <c r="P709" t="inlineStr">
        <is>
          <t>pau</t>
        </is>
      </c>
      <c r="R709" t="inlineStr">
        <is>
          <t xml:space="preserve">BV </t>
        </is>
      </c>
      <c r="S709" t="n">
        <v>1</v>
      </c>
      <c r="T709" t="n">
        <v>1</v>
      </c>
      <c r="U709" t="inlineStr">
        <is>
          <t>1992-03-26</t>
        </is>
      </c>
      <c r="V709" t="inlineStr">
        <is>
          <t>1992-03-26</t>
        </is>
      </c>
      <c r="W709" t="inlineStr">
        <is>
          <t>1992-03-02</t>
        </is>
      </c>
      <c r="X709" t="inlineStr">
        <is>
          <t>1992-03-02</t>
        </is>
      </c>
      <c r="Y709" t="n">
        <v>165</v>
      </c>
      <c r="Z709" t="n">
        <v>161</v>
      </c>
      <c r="AA709" t="n">
        <v>161</v>
      </c>
      <c r="AB709" t="n">
        <v>1</v>
      </c>
      <c r="AC709" t="n">
        <v>1</v>
      </c>
      <c r="AD709" t="n">
        <v>16</v>
      </c>
      <c r="AE709" t="n">
        <v>16</v>
      </c>
      <c r="AF709" t="n">
        <v>6</v>
      </c>
      <c r="AG709" t="n">
        <v>6</v>
      </c>
      <c r="AH709" t="n">
        <v>5</v>
      </c>
      <c r="AI709" t="n">
        <v>5</v>
      </c>
      <c r="AJ709" t="n">
        <v>12</v>
      </c>
      <c r="AK709" t="n">
        <v>12</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HYPERLINK("https://creighton-primo.hosted.exlibrisgroup.com/primo-explore/search?tab=default_tab&amp;search_scope=EVERYTHING&amp;vid=01CRU&amp;lang=en_US&amp;offset=0&amp;query=any,contains,991003128699702656","Catalog Record")</f>
        <v/>
      </c>
      <c r="AT709">
        <f>HYPERLINK("http://www.worldcat.org/oclc/672035","WorldCat Record")</f>
        <v/>
      </c>
      <c r="AU709" t="inlineStr">
        <is>
          <t>1707438:eng</t>
        </is>
      </c>
      <c r="AV709" t="inlineStr">
        <is>
          <t>672035</t>
        </is>
      </c>
      <c r="AW709" t="inlineStr">
        <is>
          <t>991003128699702656</t>
        </is>
      </c>
      <c r="AX709" t="inlineStr">
        <is>
          <t>991003128699702656</t>
        </is>
      </c>
      <c r="AY709" t="inlineStr">
        <is>
          <t>2267897520002656</t>
        </is>
      </c>
      <c r="AZ709" t="inlineStr">
        <is>
          <t>BOOK</t>
        </is>
      </c>
      <c r="BB709" t="inlineStr">
        <is>
          <t>9780805918212</t>
        </is>
      </c>
      <c r="BC709" t="inlineStr">
        <is>
          <t>32285000968023</t>
        </is>
      </c>
      <c r="BD709" t="inlineStr">
        <is>
          <t>893880842</t>
        </is>
      </c>
    </row>
    <row r="710">
      <c r="A710" t="inlineStr">
        <is>
          <t>No</t>
        </is>
      </c>
      <c r="B710" t="inlineStr">
        <is>
          <t>BV4639 .D65 1985b</t>
        </is>
      </c>
      <c r="C710" t="inlineStr">
        <is>
          <t>0                      BV 4639000D  65          1985b</t>
        </is>
      </c>
      <c r="D710" t="inlineStr">
        <is>
          <t>The Capacity to love / Jack Dominian.</t>
        </is>
      </c>
      <c r="F710" t="inlineStr">
        <is>
          <t>No</t>
        </is>
      </c>
      <c r="G710" t="inlineStr">
        <is>
          <t>1</t>
        </is>
      </c>
      <c r="H710" t="inlineStr">
        <is>
          <t>No</t>
        </is>
      </c>
      <c r="I710" t="inlineStr">
        <is>
          <t>No</t>
        </is>
      </c>
      <c r="J710" t="inlineStr">
        <is>
          <t>0</t>
        </is>
      </c>
      <c r="K710" t="inlineStr">
        <is>
          <t>Dominian, Jack, 1929-2014.</t>
        </is>
      </c>
      <c r="L710" t="inlineStr">
        <is>
          <t>Mahwah, NJ : Paulist Press, 1985.</t>
        </is>
      </c>
      <c r="M710" t="inlineStr">
        <is>
          <t>1985</t>
        </is>
      </c>
      <c r="O710" t="inlineStr">
        <is>
          <t>eng</t>
        </is>
      </c>
      <c r="P710" t="inlineStr">
        <is>
          <t>nju</t>
        </is>
      </c>
      <c r="R710" t="inlineStr">
        <is>
          <t xml:space="preserve">BV </t>
        </is>
      </c>
      <c r="S710" t="n">
        <v>4</v>
      </c>
      <c r="T710" t="n">
        <v>4</v>
      </c>
      <c r="U710" t="inlineStr">
        <is>
          <t>2000-08-28</t>
        </is>
      </c>
      <c r="V710" t="inlineStr">
        <is>
          <t>2000-08-28</t>
        </is>
      </c>
      <c r="W710" t="inlineStr">
        <is>
          <t>1992-03-10</t>
        </is>
      </c>
      <c r="X710" t="inlineStr">
        <is>
          <t>1992-03-10</t>
        </is>
      </c>
      <c r="Y710" t="n">
        <v>59</v>
      </c>
      <c r="Z710" t="n">
        <v>51</v>
      </c>
      <c r="AA710" t="n">
        <v>84</v>
      </c>
      <c r="AB710" t="n">
        <v>1</v>
      </c>
      <c r="AC710" t="n">
        <v>1</v>
      </c>
      <c r="AD710" t="n">
        <v>8</v>
      </c>
      <c r="AE710" t="n">
        <v>8</v>
      </c>
      <c r="AF710" t="n">
        <v>1</v>
      </c>
      <c r="AG710" t="n">
        <v>1</v>
      </c>
      <c r="AH710" t="n">
        <v>2</v>
      </c>
      <c r="AI710" t="n">
        <v>2</v>
      </c>
      <c r="AJ710" t="n">
        <v>7</v>
      </c>
      <c r="AK710" t="n">
        <v>7</v>
      </c>
      <c r="AL710" t="n">
        <v>0</v>
      </c>
      <c r="AM710" t="n">
        <v>0</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HYPERLINK("https://creighton-primo.hosted.exlibrisgroup.com/primo-explore/search?tab=default_tab&amp;search_scope=EVERYTHING&amp;vid=01CRU&amp;lang=en_US&amp;offset=0&amp;query=any,contains,991000746219702656","Catalog Record")</f>
        <v/>
      </c>
      <c r="AT710">
        <f>HYPERLINK("http://www.worldcat.org/oclc/12848311","WorldCat Record")</f>
        <v/>
      </c>
      <c r="AU710" t="inlineStr">
        <is>
          <t>5032797:eng</t>
        </is>
      </c>
      <c r="AV710" t="inlineStr">
        <is>
          <t>12848311</t>
        </is>
      </c>
      <c r="AW710" t="inlineStr">
        <is>
          <t>991000746219702656</t>
        </is>
      </c>
      <c r="AX710" t="inlineStr">
        <is>
          <t>991000746219702656</t>
        </is>
      </c>
      <c r="AY710" t="inlineStr">
        <is>
          <t>2271506020002656</t>
        </is>
      </c>
      <c r="AZ710" t="inlineStr">
        <is>
          <t>BOOK</t>
        </is>
      </c>
      <c r="BB710" t="inlineStr">
        <is>
          <t>9780809127269</t>
        </is>
      </c>
      <c r="BC710" t="inlineStr">
        <is>
          <t>32285001000677</t>
        </is>
      </c>
      <c r="BD710" t="inlineStr">
        <is>
          <t>893608242</t>
        </is>
      </c>
    </row>
    <row r="711">
      <c r="A711" t="inlineStr">
        <is>
          <t>No</t>
        </is>
      </c>
      <c r="B711" t="inlineStr">
        <is>
          <t>BV4639 .F56</t>
        </is>
      </c>
      <c r="C711" t="inlineStr">
        <is>
          <t>0                      BV 4639000F  56</t>
        </is>
      </c>
      <c r="D711" t="inlineStr">
        <is>
          <t>Of love and of suffering : preface to Christian ethics for heathen philosophers / by Robert E. Fitch, with a postscript for heathen theologians.</t>
        </is>
      </c>
      <c r="F711" t="inlineStr">
        <is>
          <t>No</t>
        </is>
      </c>
      <c r="G711" t="inlineStr">
        <is>
          <t>1</t>
        </is>
      </c>
      <c r="H711" t="inlineStr">
        <is>
          <t>No</t>
        </is>
      </c>
      <c r="I711" t="inlineStr">
        <is>
          <t>No</t>
        </is>
      </c>
      <c r="J711" t="inlineStr">
        <is>
          <t>0</t>
        </is>
      </c>
      <c r="K711" t="inlineStr">
        <is>
          <t>Fitch, Robert Elliot, 1902-</t>
        </is>
      </c>
      <c r="L711" t="inlineStr">
        <is>
          <t>Philadelphia, Westminster Press [1970]</t>
        </is>
      </c>
      <c r="M711" t="inlineStr">
        <is>
          <t>1970</t>
        </is>
      </c>
      <c r="O711" t="inlineStr">
        <is>
          <t>eng</t>
        </is>
      </c>
      <c r="P711" t="inlineStr">
        <is>
          <t>pau</t>
        </is>
      </c>
      <c r="R711" t="inlineStr">
        <is>
          <t xml:space="preserve">BV </t>
        </is>
      </c>
      <c r="S711" t="n">
        <v>8</v>
      </c>
      <c r="T711" t="n">
        <v>8</v>
      </c>
      <c r="U711" t="inlineStr">
        <is>
          <t>1999-06-30</t>
        </is>
      </c>
      <c r="V711" t="inlineStr">
        <is>
          <t>1999-06-30</t>
        </is>
      </c>
      <c r="W711" t="inlineStr">
        <is>
          <t>1992-03-02</t>
        </is>
      </c>
      <c r="X711" t="inlineStr">
        <is>
          <t>1992-03-02</t>
        </is>
      </c>
      <c r="Y711" t="n">
        <v>303</v>
      </c>
      <c r="Z711" t="n">
        <v>283</v>
      </c>
      <c r="AA711" t="n">
        <v>288</v>
      </c>
      <c r="AB711" t="n">
        <v>4</v>
      </c>
      <c r="AC711" t="n">
        <v>4</v>
      </c>
      <c r="AD711" t="n">
        <v>18</v>
      </c>
      <c r="AE711" t="n">
        <v>18</v>
      </c>
      <c r="AF711" t="n">
        <v>6</v>
      </c>
      <c r="AG711" t="n">
        <v>6</v>
      </c>
      <c r="AH711" t="n">
        <v>3</v>
      </c>
      <c r="AI711" t="n">
        <v>3</v>
      </c>
      <c r="AJ711" t="n">
        <v>10</v>
      </c>
      <c r="AK711" t="n">
        <v>10</v>
      </c>
      <c r="AL711" t="n">
        <v>3</v>
      </c>
      <c r="AM711" t="n">
        <v>3</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HYPERLINK("https://creighton-primo.hosted.exlibrisgroup.com/primo-explore/search?tab=default_tab&amp;search_scope=EVERYTHING&amp;vid=01CRU&amp;lang=en_US&amp;offset=0&amp;query=any,contains,991000589839702656","Catalog Record")</f>
        <v/>
      </c>
      <c r="AT711">
        <f>HYPERLINK("http://www.worldcat.org/oclc/96527","WorldCat Record")</f>
        <v/>
      </c>
      <c r="AU711" t="inlineStr">
        <is>
          <t>1819001367:eng</t>
        </is>
      </c>
      <c r="AV711" t="inlineStr">
        <is>
          <t>96527</t>
        </is>
      </c>
      <c r="AW711" t="inlineStr">
        <is>
          <t>991000589839702656</t>
        </is>
      </c>
      <c r="AX711" t="inlineStr">
        <is>
          <t>991000589839702656</t>
        </is>
      </c>
      <c r="AY711" t="inlineStr">
        <is>
          <t>2271338640002656</t>
        </is>
      </c>
      <c r="AZ711" t="inlineStr">
        <is>
          <t>BOOK</t>
        </is>
      </c>
      <c r="BB711" t="inlineStr">
        <is>
          <t>9780664248925</t>
        </is>
      </c>
      <c r="BC711" t="inlineStr">
        <is>
          <t>32285000968049</t>
        </is>
      </c>
      <c r="BD711" t="inlineStr">
        <is>
          <t>893702253</t>
        </is>
      </c>
    </row>
    <row r="712">
      <c r="A712" t="inlineStr">
        <is>
          <t>No</t>
        </is>
      </c>
      <c r="B712" t="inlineStr">
        <is>
          <t>BV4639 .I59 1992</t>
        </is>
      </c>
      <c r="C712" t="inlineStr">
        <is>
          <t>0                      BV 4639000I  59          1992</t>
        </is>
      </c>
      <c r="D712" t="inlineStr">
        <is>
          <t>The recovery of love : Christian mysticism and the addictive society / Jeffrey D. Imbach.</t>
        </is>
      </c>
      <c r="F712" t="inlineStr">
        <is>
          <t>No</t>
        </is>
      </c>
      <c r="G712" t="inlineStr">
        <is>
          <t>1</t>
        </is>
      </c>
      <c r="H712" t="inlineStr">
        <is>
          <t>No</t>
        </is>
      </c>
      <c r="I712" t="inlineStr">
        <is>
          <t>No</t>
        </is>
      </c>
      <c r="J712" t="inlineStr">
        <is>
          <t>0</t>
        </is>
      </c>
      <c r="K712" t="inlineStr">
        <is>
          <t>Imbach, Jeffrey D.</t>
        </is>
      </c>
      <c r="L712" t="inlineStr">
        <is>
          <t>New York : Crossroad, c1992.</t>
        </is>
      </c>
      <c r="M712" t="inlineStr">
        <is>
          <t>1992</t>
        </is>
      </c>
      <c r="O712" t="inlineStr">
        <is>
          <t>eng</t>
        </is>
      </c>
      <c r="P712" t="inlineStr">
        <is>
          <t>nyu</t>
        </is>
      </c>
      <c r="R712" t="inlineStr">
        <is>
          <t xml:space="preserve">BV </t>
        </is>
      </c>
      <c r="S712" t="n">
        <v>4</v>
      </c>
      <c r="T712" t="n">
        <v>4</v>
      </c>
      <c r="U712" t="inlineStr">
        <is>
          <t>1997-06-16</t>
        </is>
      </c>
      <c r="V712" t="inlineStr">
        <is>
          <t>1997-06-16</t>
        </is>
      </c>
      <c r="W712" t="inlineStr">
        <is>
          <t>1992-05-15</t>
        </is>
      </c>
      <c r="X712" t="inlineStr">
        <is>
          <t>1992-05-15</t>
        </is>
      </c>
      <c r="Y712" t="n">
        <v>169</v>
      </c>
      <c r="Z712" t="n">
        <v>149</v>
      </c>
      <c r="AA712" t="n">
        <v>154</v>
      </c>
      <c r="AB712" t="n">
        <v>3</v>
      </c>
      <c r="AC712" t="n">
        <v>3</v>
      </c>
      <c r="AD712" t="n">
        <v>12</v>
      </c>
      <c r="AE712" t="n">
        <v>12</v>
      </c>
      <c r="AF712" t="n">
        <v>4</v>
      </c>
      <c r="AG712" t="n">
        <v>4</v>
      </c>
      <c r="AH712" t="n">
        <v>1</v>
      </c>
      <c r="AI712" t="n">
        <v>1</v>
      </c>
      <c r="AJ712" t="n">
        <v>9</v>
      </c>
      <c r="AK712" t="n">
        <v>9</v>
      </c>
      <c r="AL712" t="n">
        <v>1</v>
      </c>
      <c r="AM712" t="n">
        <v>1</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HYPERLINK("https://creighton-primo.hosted.exlibrisgroup.com/primo-explore/search?tab=default_tab&amp;search_scope=EVERYTHING&amp;vid=01CRU&amp;lang=en_US&amp;offset=0&amp;query=any,contains,991001951819702656","Catalog Record")</f>
        <v/>
      </c>
      <c r="AT712">
        <f>HYPERLINK("http://www.worldcat.org/oclc/24670785","WorldCat Record")</f>
        <v/>
      </c>
      <c r="AU712" t="inlineStr">
        <is>
          <t>794558196:eng</t>
        </is>
      </c>
      <c r="AV712" t="inlineStr">
        <is>
          <t>24670785</t>
        </is>
      </c>
      <c r="AW712" t="inlineStr">
        <is>
          <t>991001951819702656</t>
        </is>
      </c>
      <c r="AX712" t="inlineStr">
        <is>
          <t>991001951819702656</t>
        </is>
      </c>
      <c r="AY712" t="inlineStr">
        <is>
          <t>2267451830002656</t>
        </is>
      </c>
      <c r="AZ712" t="inlineStr">
        <is>
          <t>BOOK</t>
        </is>
      </c>
      <c r="BB712" t="inlineStr">
        <is>
          <t>9780824511166</t>
        </is>
      </c>
      <c r="BC712" t="inlineStr">
        <is>
          <t>32285001122414</t>
        </is>
      </c>
      <c r="BD712" t="inlineStr">
        <is>
          <t>893433291</t>
        </is>
      </c>
    </row>
    <row r="713">
      <c r="A713" t="inlineStr">
        <is>
          <t>No</t>
        </is>
      </c>
      <c r="B713" t="inlineStr">
        <is>
          <t>BV4639 .K39</t>
        </is>
      </c>
      <c r="C713" t="inlineStr">
        <is>
          <t>0                      BV 4639000K  39</t>
        </is>
      </c>
      <c r="D713" t="inlineStr">
        <is>
          <t>Caring : how can we love one another? / Morton T. Kelsey.</t>
        </is>
      </c>
      <c r="F713" t="inlineStr">
        <is>
          <t>No</t>
        </is>
      </c>
      <c r="G713" t="inlineStr">
        <is>
          <t>1</t>
        </is>
      </c>
      <c r="H713" t="inlineStr">
        <is>
          <t>No</t>
        </is>
      </c>
      <c r="I713" t="inlineStr">
        <is>
          <t>No</t>
        </is>
      </c>
      <c r="J713" t="inlineStr">
        <is>
          <t>0</t>
        </is>
      </c>
      <c r="K713" t="inlineStr">
        <is>
          <t>Kelsey, Morton T.</t>
        </is>
      </c>
      <c r="L713" t="inlineStr">
        <is>
          <t>New York : Paulist Press, c1981.</t>
        </is>
      </c>
      <c r="M713" t="inlineStr">
        <is>
          <t>1981</t>
        </is>
      </c>
      <c r="O713" t="inlineStr">
        <is>
          <t>eng</t>
        </is>
      </c>
      <c r="P713" t="inlineStr">
        <is>
          <t>nyu</t>
        </is>
      </c>
      <c r="R713" t="inlineStr">
        <is>
          <t xml:space="preserve">BV </t>
        </is>
      </c>
      <c r="S713" t="n">
        <v>5</v>
      </c>
      <c r="T713" t="n">
        <v>5</v>
      </c>
      <c r="U713" t="inlineStr">
        <is>
          <t>2004-04-13</t>
        </is>
      </c>
      <c r="V713" t="inlineStr">
        <is>
          <t>2004-04-13</t>
        </is>
      </c>
      <c r="W713" t="inlineStr">
        <is>
          <t>1992-03-02</t>
        </is>
      </c>
      <c r="X713" t="inlineStr">
        <is>
          <t>1992-03-02</t>
        </is>
      </c>
      <c r="Y713" t="n">
        <v>447</v>
      </c>
      <c r="Z713" t="n">
        <v>387</v>
      </c>
      <c r="AA713" t="n">
        <v>393</v>
      </c>
      <c r="AB713" t="n">
        <v>6</v>
      </c>
      <c r="AC713" t="n">
        <v>6</v>
      </c>
      <c r="AD713" t="n">
        <v>33</v>
      </c>
      <c r="AE713" t="n">
        <v>33</v>
      </c>
      <c r="AF713" t="n">
        <v>14</v>
      </c>
      <c r="AG713" t="n">
        <v>14</v>
      </c>
      <c r="AH713" t="n">
        <v>6</v>
      </c>
      <c r="AI713" t="n">
        <v>6</v>
      </c>
      <c r="AJ713" t="n">
        <v>18</v>
      </c>
      <c r="AK713" t="n">
        <v>18</v>
      </c>
      <c r="AL713" t="n">
        <v>4</v>
      </c>
      <c r="AM713" t="n">
        <v>4</v>
      </c>
      <c r="AN713" t="n">
        <v>0</v>
      </c>
      <c r="AO713" t="n">
        <v>0</v>
      </c>
      <c r="AP713" t="inlineStr">
        <is>
          <t>No</t>
        </is>
      </c>
      <c r="AQ713" t="inlineStr">
        <is>
          <t>Yes</t>
        </is>
      </c>
      <c r="AR713">
        <f>HYPERLINK("http://catalog.hathitrust.org/Record/006019436","HathiTrust Record")</f>
        <v/>
      </c>
      <c r="AS713">
        <f>HYPERLINK("https://creighton-primo.hosted.exlibrisgroup.com/primo-explore/search?tab=default_tab&amp;search_scope=EVERYTHING&amp;vid=01CRU&amp;lang=en_US&amp;offset=0&amp;query=any,contains,991005119459702656","Catalog Record")</f>
        <v/>
      </c>
      <c r="AT713">
        <f>HYPERLINK("http://www.worldcat.org/oclc/7486360","WorldCat Record")</f>
        <v/>
      </c>
      <c r="AU713" t="inlineStr">
        <is>
          <t>466280:eng</t>
        </is>
      </c>
      <c r="AV713" t="inlineStr">
        <is>
          <t>7486360</t>
        </is>
      </c>
      <c r="AW713" t="inlineStr">
        <is>
          <t>991005119459702656</t>
        </is>
      </c>
      <c r="AX713" t="inlineStr">
        <is>
          <t>991005119459702656</t>
        </is>
      </c>
      <c r="AY713" t="inlineStr">
        <is>
          <t>2270348480002656</t>
        </is>
      </c>
      <c r="AZ713" t="inlineStr">
        <is>
          <t>BOOK</t>
        </is>
      </c>
      <c r="BB713" t="inlineStr">
        <is>
          <t>9780809123667</t>
        </is>
      </c>
      <c r="BC713" t="inlineStr">
        <is>
          <t>32285000968098</t>
        </is>
      </c>
      <c r="BD713" t="inlineStr">
        <is>
          <t>893883362</t>
        </is>
      </c>
    </row>
    <row r="714">
      <c r="A714" t="inlineStr">
        <is>
          <t>No</t>
        </is>
      </c>
      <c r="B714" t="inlineStr">
        <is>
          <t>BV4639 .K413 1967</t>
        </is>
      </c>
      <c r="C714" t="inlineStr">
        <is>
          <t>0                      BV 4639000K  413         1967</t>
        </is>
      </c>
      <c r="D714" t="inlineStr">
        <is>
          <t>Loneliness and love / [by] L. vander Kerken. Translated with a foreword by J. Donceel.</t>
        </is>
      </c>
      <c r="F714" t="inlineStr">
        <is>
          <t>No</t>
        </is>
      </c>
      <c r="G714" t="inlineStr">
        <is>
          <t>1</t>
        </is>
      </c>
      <c r="H714" t="inlineStr">
        <is>
          <t>No</t>
        </is>
      </c>
      <c r="I714" t="inlineStr">
        <is>
          <t>No</t>
        </is>
      </c>
      <c r="J714" t="inlineStr">
        <is>
          <t>0</t>
        </is>
      </c>
      <c r="K714" t="inlineStr">
        <is>
          <t>Kerken, L. vander (Libert), 1910-</t>
        </is>
      </c>
      <c r="L714" t="inlineStr">
        <is>
          <t>New York : Sheed &amp; Ward, [1967]</t>
        </is>
      </c>
      <c r="M714" t="inlineStr">
        <is>
          <t>1967</t>
        </is>
      </c>
      <c r="O714" t="inlineStr">
        <is>
          <t>eng</t>
        </is>
      </c>
      <c r="P714" t="inlineStr">
        <is>
          <t>nyu</t>
        </is>
      </c>
      <c r="R714" t="inlineStr">
        <is>
          <t xml:space="preserve">BV </t>
        </is>
      </c>
      <c r="S714" t="n">
        <v>1</v>
      </c>
      <c r="T714" t="n">
        <v>1</v>
      </c>
      <c r="U714" t="inlineStr">
        <is>
          <t>2001-12-19</t>
        </is>
      </c>
      <c r="V714" t="inlineStr">
        <is>
          <t>2001-12-19</t>
        </is>
      </c>
      <c r="W714" t="inlineStr">
        <is>
          <t>1992-03-04</t>
        </is>
      </c>
      <c r="X714" t="inlineStr">
        <is>
          <t>1992-03-04</t>
        </is>
      </c>
      <c r="Y714" t="n">
        <v>290</v>
      </c>
      <c r="Z714" t="n">
        <v>269</v>
      </c>
      <c r="AA714" t="n">
        <v>270</v>
      </c>
      <c r="AB714" t="n">
        <v>3</v>
      </c>
      <c r="AC714" t="n">
        <v>3</v>
      </c>
      <c r="AD714" t="n">
        <v>25</v>
      </c>
      <c r="AE714" t="n">
        <v>25</v>
      </c>
      <c r="AF714" t="n">
        <v>9</v>
      </c>
      <c r="AG714" t="n">
        <v>9</v>
      </c>
      <c r="AH714" t="n">
        <v>6</v>
      </c>
      <c r="AI714" t="n">
        <v>6</v>
      </c>
      <c r="AJ714" t="n">
        <v>17</v>
      </c>
      <c r="AK714" t="n">
        <v>17</v>
      </c>
      <c r="AL714" t="n">
        <v>2</v>
      </c>
      <c r="AM714" t="n">
        <v>2</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HYPERLINK("https://creighton-primo.hosted.exlibrisgroup.com/primo-explore/search?tab=default_tab&amp;search_scope=EVERYTHING&amp;vid=01CRU&amp;lang=en_US&amp;offset=0&amp;query=any,contains,991003063769702656","Catalog Record")</f>
        <v/>
      </c>
      <c r="AT714">
        <f>HYPERLINK("http://www.worldcat.org/oclc/620398","WorldCat Record")</f>
        <v/>
      </c>
      <c r="AU714" t="inlineStr">
        <is>
          <t>9566173555:eng</t>
        </is>
      </c>
      <c r="AV714" t="inlineStr">
        <is>
          <t>620398</t>
        </is>
      </c>
      <c r="AW714" t="inlineStr">
        <is>
          <t>991003063769702656</t>
        </is>
      </c>
      <c r="AX714" t="inlineStr">
        <is>
          <t>991003063769702656</t>
        </is>
      </c>
      <c r="AY714" t="inlineStr">
        <is>
          <t>2256427940002656</t>
        </is>
      </c>
      <c r="AZ714" t="inlineStr">
        <is>
          <t>BOOK</t>
        </is>
      </c>
      <c r="BC714" t="inlineStr">
        <is>
          <t>32285000968114</t>
        </is>
      </c>
      <c r="BD714" t="inlineStr">
        <is>
          <t>893592155</t>
        </is>
      </c>
    </row>
    <row r="715">
      <c r="A715" t="inlineStr">
        <is>
          <t>No</t>
        </is>
      </c>
      <c r="B715" t="inlineStr">
        <is>
          <t>BV4639 .L665 1992</t>
        </is>
      </c>
      <c r="C715" t="inlineStr">
        <is>
          <t>0                      BV 4639000L  665         1992</t>
        </is>
      </c>
      <c r="D715" t="inlineStr">
        <is>
          <t>The Love commandments : essays in Christian ethics and moral philosophy / Gene Outka ... [et al.] ; edited by Edmund N. Santurri and William Werpehowski.</t>
        </is>
      </c>
      <c r="F715" t="inlineStr">
        <is>
          <t>No</t>
        </is>
      </c>
      <c r="G715" t="inlineStr">
        <is>
          <t>1</t>
        </is>
      </c>
      <c r="H715" t="inlineStr">
        <is>
          <t>No</t>
        </is>
      </c>
      <c r="I715" t="inlineStr">
        <is>
          <t>No</t>
        </is>
      </c>
      <c r="J715" t="inlineStr">
        <is>
          <t>0</t>
        </is>
      </c>
      <c r="L715" t="inlineStr">
        <is>
          <t>Washington, D.C. : Georgetown University Press, 1992.</t>
        </is>
      </c>
      <c r="M715" t="inlineStr">
        <is>
          <t>1992</t>
        </is>
      </c>
      <c r="O715" t="inlineStr">
        <is>
          <t>eng</t>
        </is>
      </c>
      <c r="P715" t="inlineStr">
        <is>
          <t>dcu</t>
        </is>
      </c>
      <c r="R715" t="inlineStr">
        <is>
          <t xml:space="preserve">BV </t>
        </is>
      </c>
      <c r="S715" t="n">
        <v>12</v>
      </c>
      <c r="T715" t="n">
        <v>12</v>
      </c>
      <c r="U715" t="inlineStr">
        <is>
          <t>2009-02-18</t>
        </is>
      </c>
      <c r="V715" t="inlineStr">
        <is>
          <t>2009-02-18</t>
        </is>
      </c>
      <c r="W715" t="inlineStr">
        <is>
          <t>1993-09-14</t>
        </is>
      </c>
      <c r="X715" t="inlineStr">
        <is>
          <t>1993-09-14</t>
        </is>
      </c>
      <c r="Y715" t="n">
        <v>232</v>
      </c>
      <c r="Z715" t="n">
        <v>190</v>
      </c>
      <c r="AA715" t="n">
        <v>196</v>
      </c>
      <c r="AB715" t="n">
        <v>2</v>
      </c>
      <c r="AC715" t="n">
        <v>2</v>
      </c>
      <c r="AD715" t="n">
        <v>18</v>
      </c>
      <c r="AE715" t="n">
        <v>18</v>
      </c>
      <c r="AF715" t="n">
        <v>6</v>
      </c>
      <c r="AG715" t="n">
        <v>6</v>
      </c>
      <c r="AH715" t="n">
        <v>5</v>
      </c>
      <c r="AI715" t="n">
        <v>5</v>
      </c>
      <c r="AJ715" t="n">
        <v>12</v>
      </c>
      <c r="AK715" t="n">
        <v>12</v>
      </c>
      <c r="AL715" t="n">
        <v>1</v>
      </c>
      <c r="AM715" t="n">
        <v>1</v>
      </c>
      <c r="AN715" t="n">
        <v>0</v>
      </c>
      <c r="AO715" t="n">
        <v>0</v>
      </c>
      <c r="AP715" t="inlineStr">
        <is>
          <t>No</t>
        </is>
      </c>
      <c r="AQ715" t="inlineStr">
        <is>
          <t>Yes</t>
        </is>
      </c>
      <c r="AR715">
        <f>HYPERLINK("http://catalog.hathitrust.org/Record/002613425","HathiTrust Record")</f>
        <v/>
      </c>
      <c r="AS715">
        <f>HYPERLINK("https://creighton-primo.hosted.exlibrisgroup.com/primo-explore/search?tab=default_tab&amp;search_scope=EVERYTHING&amp;vid=01CRU&amp;lang=en_US&amp;offset=0&amp;query=any,contains,991001784989702656","Catalog Record")</f>
        <v/>
      </c>
      <c r="AT715">
        <f>HYPERLINK("http://www.worldcat.org/oclc/22494067","WorldCat Record")</f>
        <v/>
      </c>
      <c r="AU715" t="inlineStr">
        <is>
          <t>890000536:eng</t>
        </is>
      </c>
      <c r="AV715" t="inlineStr">
        <is>
          <t>22494067</t>
        </is>
      </c>
      <c r="AW715" t="inlineStr">
        <is>
          <t>991001784989702656</t>
        </is>
      </c>
      <c r="AX715" t="inlineStr">
        <is>
          <t>991001784989702656</t>
        </is>
      </c>
      <c r="AY715" t="inlineStr">
        <is>
          <t>2258612320002656</t>
        </is>
      </c>
      <c r="AZ715" t="inlineStr">
        <is>
          <t>BOOK</t>
        </is>
      </c>
      <c r="BB715" t="inlineStr">
        <is>
          <t>9780878405145</t>
        </is>
      </c>
      <c r="BC715" t="inlineStr">
        <is>
          <t>32285001766533</t>
        </is>
      </c>
      <c r="BD715" t="inlineStr">
        <is>
          <t>893684644</t>
        </is>
      </c>
    </row>
    <row r="716">
      <c r="A716" t="inlineStr">
        <is>
          <t>No</t>
        </is>
      </c>
      <c r="B716" t="inlineStr">
        <is>
          <t>BV4639 .M265 1965</t>
        </is>
      </c>
      <c r="C716" t="inlineStr">
        <is>
          <t>0                      BV 4639000M  265         1965</t>
        </is>
      </c>
      <c r="D716" t="inlineStr">
        <is>
          <t>The theology and practice of love / by Charles M. Magsam.</t>
        </is>
      </c>
      <c r="F716" t="inlineStr">
        <is>
          <t>No</t>
        </is>
      </c>
      <c r="G716" t="inlineStr">
        <is>
          <t>1</t>
        </is>
      </c>
      <c r="H716" t="inlineStr">
        <is>
          <t>No</t>
        </is>
      </c>
      <c r="I716" t="inlineStr">
        <is>
          <t>No</t>
        </is>
      </c>
      <c r="J716" t="inlineStr">
        <is>
          <t>0</t>
        </is>
      </c>
      <c r="K716" t="inlineStr">
        <is>
          <t>Magsam, Charles M.</t>
        </is>
      </c>
      <c r="L716" t="inlineStr">
        <is>
          <t>Baltimore : Helicon, [1965]</t>
        </is>
      </c>
      <c r="M716" t="inlineStr">
        <is>
          <t>1965</t>
        </is>
      </c>
      <c r="O716" t="inlineStr">
        <is>
          <t>eng</t>
        </is>
      </c>
      <c r="P716" t="inlineStr">
        <is>
          <t>mdu</t>
        </is>
      </c>
      <c r="R716" t="inlineStr">
        <is>
          <t xml:space="preserve">BV </t>
        </is>
      </c>
      <c r="S716" t="n">
        <v>1</v>
      </c>
      <c r="T716" t="n">
        <v>1</v>
      </c>
      <c r="U716" t="inlineStr">
        <is>
          <t>2009-09-29</t>
        </is>
      </c>
      <c r="V716" t="inlineStr">
        <is>
          <t>2009-09-29</t>
        </is>
      </c>
      <c r="W716" t="inlineStr">
        <is>
          <t>1992-03-04</t>
        </is>
      </c>
      <c r="X716" t="inlineStr">
        <is>
          <t>1992-03-04</t>
        </is>
      </c>
      <c r="Y716" t="n">
        <v>152</v>
      </c>
      <c r="Z716" t="n">
        <v>120</v>
      </c>
      <c r="AA716" t="n">
        <v>125</v>
      </c>
      <c r="AB716" t="n">
        <v>3</v>
      </c>
      <c r="AC716" t="n">
        <v>3</v>
      </c>
      <c r="AD716" t="n">
        <v>20</v>
      </c>
      <c r="AE716" t="n">
        <v>20</v>
      </c>
      <c r="AF716" t="n">
        <v>5</v>
      </c>
      <c r="AG716" t="n">
        <v>5</v>
      </c>
      <c r="AH716" t="n">
        <v>5</v>
      </c>
      <c r="AI716" t="n">
        <v>5</v>
      </c>
      <c r="AJ716" t="n">
        <v>17</v>
      </c>
      <c r="AK716" t="n">
        <v>17</v>
      </c>
      <c r="AL716" t="n">
        <v>1</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HYPERLINK("https://creighton-primo.hosted.exlibrisgroup.com/primo-explore/search?tab=default_tab&amp;search_scope=EVERYTHING&amp;vid=01CRU&amp;lang=en_US&amp;offset=0&amp;query=any,contains,991003979409702656","Catalog Record")</f>
        <v/>
      </c>
      <c r="AT716">
        <f>HYPERLINK("http://www.worldcat.org/oclc/2016963","WorldCat Record")</f>
        <v/>
      </c>
      <c r="AU716" t="inlineStr">
        <is>
          <t>2679877:eng</t>
        </is>
      </c>
      <c r="AV716" t="inlineStr">
        <is>
          <t>2016963</t>
        </is>
      </c>
      <c r="AW716" t="inlineStr">
        <is>
          <t>991003979409702656</t>
        </is>
      </c>
      <c r="AX716" t="inlineStr">
        <is>
          <t>991003979409702656</t>
        </is>
      </c>
      <c r="AY716" t="inlineStr">
        <is>
          <t>2258404310002656</t>
        </is>
      </c>
      <c r="AZ716" t="inlineStr">
        <is>
          <t>BOOK</t>
        </is>
      </c>
      <c r="BC716" t="inlineStr">
        <is>
          <t>32285000968130</t>
        </is>
      </c>
      <c r="BD716" t="inlineStr">
        <is>
          <t>893618069</t>
        </is>
      </c>
    </row>
    <row r="717">
      <c r="A717" t="inlineStr">
        <is>
          <t>No</t>
        </is>
      </c>
      <c r="B717" t="inlineStr">
        <is>
          <t>BV4639 .M281</t>
        </is>
      </c>
      <c r="C717" t="inlineStr">
        <is>
          <t>0                      BV 4639000M  281</t>
        </is>
      </c>
      <c r="D717" t="inlineStr">
        <is>
          <t>Stranger to self-hatred : a glimpse of Jesus / by Brennan Manning.</t>
        </is>
      </c>
      <c r="F717" t="inlineStr">
        <is>
          <t>No</t>
        </is>
      </c>
      <c r="G717" t="inlineStr">
        <is>
          <t>1</t>
        </is>
      </c>
      <c r="H717" t="inlineStr">
        <is>
          <t>No</t>
        </is>
      </c>
      <c r="I717" t="inlineStr">
        <is>
          <t>No</t>
        </is>
      </c>
      <c r="J717" t="inlineStr">
        <is>
          <t>0</t>
        </is>
      </c>
      <c r="K717" t="inlineStr">
        <is>
          <t>Manning, Brennan.</t>
        </is>
      </c>
      <c r="L717" t="inlineStr">
        <is>
          <t>Denville, N.J. : Dimension Books, c1982.</t>
        </is>
      </c>
      <c r="M717" t="inlineStr">
        <is>
          <t>1982</t>
        </is>
      </c>
      <c r="O717" t="inlineStr">
        <is>
          <t>eng</t>
        </is>
      </c>
      <c r="P717" t="inlineStr">
        <is>
          <t>nju</t>
        </is>
      </c>
      <c r="R717" t="inlineStr">
        <is>
          <t xml:space="preserve">BV </t>
        </is>
      </c>
      <c r="S717" t="n">
        <v>2</v>
      </c>
      <c r="T717" t="n">
        <v>2</v>
      </c>
      <c r="U717" t="inlineStr">
        <is>
          <t>1994-11-18</t>
        </is>
      </c>
      <c r="V717" t="inlineStr">
        <is>
          <t>1994-11-18</t>
        </is>
      </c>
      <c r="W717" t="inlineStr">
        <is>
          <t>1992-03-04</t>
        </is>
      </c>
      <c r="X717" t="inlineStr">
        <is>
          <t>1992-03-04</t>
        </is>
      </c>
      <c r="Y717" t="n">
        <v>146</v>
      </c>
      <c r="Z717" t="n">
        <v>127</v>
      </c>
      <c r="AA717" t="n">
        <v>132</v>
      </c>
      <c r="AB717" t="n">
        <v>2</v>
      </c>
      <c r="AC717" t="n">
        <v>2</v>
      </c>
      <c r="AD717" t="n">
        <v>10</v>
      </c>
      <c r="AE717" t="n">
        <v>10</v>
      </c>
      <c r="AF717" t="n">
        <v>1</v>
      </c>
      <c r="AG717" t="n">
        <v>1</v>
      </c>
      <c r="AH717" t="n">
        <v>2</v>
      </c>
      <c r="AI717" t="n">
        <v>2</v>
      </c>
      <c r="AJ717" t="n">
        <v>8</v>
      </c>
      <c r="AK717" t="n">
        <v>8</v>
      </c>
      <c r="AL717" t="n">
        <v>0</v>
      </c>
      <c r="AM717" t="n">
        <v>0</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HYPERLINK("https://creighton-primo.hosted.exlibrisgroup.com/primo-explore/search?tab=default_tab&amp;search_scope=EVERYTHING&amp;vid=01CRU&amp;lang=en_US&amp;offset=0&amp;query=any,contains,991005244179702656","Catalog Record")</f>
        <v/>
      </c>
      <c r="AT717">
        <f>HYPERLINK("http://www.worldcat.org/oclc/8449278","WorldCat Record")</f>
        <v/>
      </c>
      <c r="AU717" t="inlineStr">
        <is>
          <t>32118235:eng</t>
        </is>
      </c>
      <c r="AV717" t="inlineStr">
        <is>
          <t>8449278</t>
        </is>
      </c>
      <c r="AW717" t="inlineStr">
        <is>
          <t>991005244179702656</t>
        </is>
      </c>
      <c r="AX717" t="inlineStr">
        <is>
          <t>991005244179702656</t>
        </is>
      </c>
      <c r="AY717" t="inlineStr">
        <is>
          <t>2258127590002656</t>
        </is>
      </c>
      <c r="AZ717" t="inlineStr">
        <is>
          <t>BOOK</t>
        </is>
      </c>
      <c r="BB717" t="inlineStr">
        <is>
          <t>9780871931566</t>
        </is>
      </c>
      <c r="BC717" t="inlineStr">
        <is>
          <t>32285000968148</t>
        </is>
      </c>
      <c r="BD717" t="inlineStr">
        <is>
          <t>893326451</t>
        </is>
      </c>
    </row>
    <row r="718">
      <c r="A718" t="inlineStr">
        <is>
          <t>No</t>
        </is>
      </c>
      <c r="B718" t="inlineStr">
        <is>
          <t>BV4639 .M36 1971</t>
        </is>
      </c>
      <c r="C718" t="inlineStr">
        <is>
          <t>0                      BV 4639000M  36          1971</t>
        </is>
      </c>
      <c r="D718" t="inlineStr">
        <is>
          <t>On caring / Milton Mayeroff.</t>
        </is>
      </c>
      <c r="F718" t="inlineStr">
        <is>
          <t>No</t>
        </is>
      </c>
      <c r="G718" t="inlineStr">
        <is>
          <t>1</t>
        </is>
      </c>
      <c r="H718" t="inlineStr">
        <is>
          <t>No</t>
        </is>
      </c>
      <c r="I718" t="inlineStr">
        <is>
          <t>No</t>
        </is>
      </c>
      <c r="J718" t="inlineStr">
        <is>
          <t>0</t>
        </is>
      </c>
      <c r="K718" t="inlineStr">
        <is>
          <t>Mayeroff, Milton, 1925-</t>
        </is>
      </c>
      <c r="L718" t="inlineStr">
        <is>
          <t>New York : Harper &amp; Row, [1971]</t>
        </is>
      </c>
      <c r="M718" t="inlineStr">
        <is>
          <t>1971</t>
        </is>
      </c>
      <c r="N718" t="inlineStr">
        <is>
          <t>[1st U.S. ed.]</t>
        </is>
      </c>
      <c r="O718" t="inlineStr">
        <is>
          <t>eng</t>
        </is>
      </c>
      <c r="P718" t="inlineStr">
        <is>
          <t>nyu</t>
        </is>
      </c>
      <c r="Q718" t="inlineStr">
        <is>
          <t>World perspectives ; v. 43</t>
        </is>
      </c>
      <c r="R718" t="inlineStr">
        <is>
          <t xml:space="preserve">BV </t>
        </is>
      </c>
      <c r="S718" t="n">
        <v>7</v>
      </c>
      <c r="T718" t="n">
        <v>7</v>
      </c>
      <c r="U718" t="inlineStr">
        <is>
          <t>2004-04-13</t>
        </is>
      </c>
      <c r="V718" t="inlineStr">
        <is>
          <t>2004-04-13</t>
        </is>
      </c>
      <c r="W718" t="inlineStr">
        <is>
          <t>1993-09-13</t>
        </is>
      </c>
      <c r="X718" t="inlineStr">
        <is>
          <t>1993-09-13</t>
        </is>
      </c>
      <c r="Y718" t="n">
        <v>724</v>
      </c>
      <c r="Z718" t="n">
        <v>666</v>
      </c>
      <c r="AA718" t="n">
        <v>930</v>
      </c>
      <c r="AB718" t="n">
        <v>5</v>
      </c>
      <c r="AC718" t="n">
        <v>6</v>
      </c>
      <c r="AD718" t="n">
        <v>23</v>
      </c>
      <c r="AE718" t="n">
        <v>35</v>
      </c>
      <c r="AF718" t="n">
        <v>10</v>
      </c>
      <c r="AG718" t="n">
        <v>14</v>
      </c>
      <c r="AH718" t="n">
        <v>6</v>
      </c>
      <c r="AI718" t="n">
        <v>8</v>
      </c>
      <c r="AJ718" t="n">
        <v>10</v>
      </c>
      <c r="AK718" t="n">
        <v>17</v>
      </c>
      <c r="AL718" t="n">
        <v>3</v>
      </c>
      <c r="AM718" t="n">
        <v>4</v>
      </c>
      <c r="AN718" t="n">
        <v>0</v>
      </c>
      <c r="AO718" t="n">
        <v>0</v>
      </c>
      <c r="AP718" t="inlineStr">
        <is>
          <t>No</t>
        </is>
      </c>
      <c r="AQ718" t="inlineStr">
        <is>
          <t>Yes</t>
        </is>
      </c>
      <c r="AR718">
        <f>HYPERLINK("http://catalog.hathitrust.org/Record/001414893","HathiTrust Record")</f>
        <v/>
      </c>
      <c r="AS718">
        <f>HYPERLINK("https://creighton-primo.hosted.exlibrisgroup.com/primo-explore/search?tab=default_tab&amp;search_scope=EVERYTHING&amp;vid=01CRU&amp;lang=en_US&amp;offset=0&amp;query=any,contains,991000683029702656","Catalog Record")</f>
        <v/>
      </c>
      <c r="AT718">
        <f>HYPERLINK("http://www.worldcat.org/oclc/122439","WorldCat Record")</f>
        <v/>
      </c>
      <c r="AU718" t="inlineStr">
        <is>
          <t>1244959:eng</t>
        </is>
      </c>
      <c r="AV718" t="inlineStr">
        <is>
          <t>122439</t>
        </is>
      </c>
      <c r="AW718" t="inlineStr">
        <is>
          <t>991000683029702656</t>
        </is>
      </c>
      <c r="AX718" t="inlineStr">
        <is>
          <t>991000683029702656</t>
        </is>
      </c>
      <c r="AY718" t="inlineStr">
        <is>
          <t>2263115110002656</t>
        </is>
      </c>
      <c r="AZ718" t="inlineStr">
        <is>
          <t>BOOK</t>
        </is>
      </c>
      <c r="BC718" t="inlineStr">
        <is>
          <t>32285001776987</t>
        </is>
      </c>
      <c r="BD718" t="inlineStr">
        <is>
          <t>893425938</t>
        </is>
      </c>
    </row>
    <row r="719">
      <c r="A719" t="inlineStr">
        <is>
          <t>No</t>
        </is>
      </c>
      <c r="B719" t="inlineStr">
        <is>
          <t>BV4639 .M43 1981</t>
        </is>
      </c>
      <c r="C719" t="inlineStr">
        <is>
          <t>0                      BV 4639000M  43          1981</t>
        </is>
      </c>
      <c r="D719" t="inlineStr">
        <is>
          <t>Arise, a Christian psychology of love / by Chester P. Michael and Marie C. Norrisey.</t>
        </is>
      </c>
      <c r="F719" t="inlineStr">
        <is>
          <t>No</t>
        </is>
      </c>
      <c r="G719" t="inlineStr">
        <is>
          <t>1</t>
        </is>
      </c>
      <c r="H719" t="inlineStr">
        <is>
          <t>No</t>
        </is>
      </c>
      <c r="I719" t="inlineStr">
        <is>
          <t>No</t>
        </is>
      </c>
      <c r="J719" t="inlineStr">
        <is>
          <t>0</t>
        </is>
      </c>
      <c r="K719" t="inlineStr">
        <is>
          <t>Michael, Chester P.</t>
        </is>
      </c>
      <c r="L719" t="inlineStr">
        <is>
          <t>Charlottesville, Va. : Open Door, c1981.</t>
        </is>
      </c>
      <c r="M719" t="inlineStr">
        <is>
          <t>1981</t>
        </is>
      </c>
      <c r="O719" t="inlineStr">
        <is>
          <t>eng</t>
        </is>
      </c>
      <c r="P719" t="inlineStr">
        <is>
          <t>vau</t>
        </is>
      </c>
      <c r="R719" t="inlineStr">
        <is>
          <t xml:space="preserve">BV </t>
        </is>
      </c>
      <c r="S719" t="n">
        <v>1</v>
      </c>
      <c r="T719" t="n">
        <v>1</v>
      </c>
      <c r="U719" t="inlineStr">
        <is>
          <t>2010-07-01</t>
        </is>
      </c>
      <c r="V719" t="inlineStr">
        <is>
          <t>2010-07-01</t>
        </is>
      </c>
      <c r="W719" t="inlineStr">
        <is>
          <t>2010-07-01</t>
        </is>
      </c>
      <c r="X719" t="inlineStr">
        <is>
          <t>2010-07-01</t>
        </is>
      </c>
      <c r="Y719" t="n">
        <v>76</v>
      </c>
      <c r="Z719" t="n">
        <v>64</v>
      </c>
      <c r="AA719" t="n">
        <v>64</v>
      </c>
      <c r="AB719" t="n">
        <v>2</v>
      </c>
      <c r="AC719" t="n">
        <v>2</v>
      </c>
      <c r="AD719" t="n">
        <v>5</v>
      </c>
      <c r="AE719" t="n">
        <v>5</v>
      </c>
      <c r="AF719" t="n">
        <v>1</v>
      </c>
      <c r="AG719" t="n">
        <v>1</v>
      </c>
      <c r="AH719" t="n">
        <v>1</v>
      </c>
      <c r="AI719" t="n">
        <v>1</v>
      </c>
      <c r="AJ719" t="n">
        <v>4</v>
      </c>
      <c r="AK719" t="n">
        <v>4</v>
      </c>
      <c r="AL719" t="n">
        <v>0</v>
      </c>
      <c r="AM719" t="n">
        <v>0</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HYPERLINK("https://creighton-primo.hosted.exlibrisgroup.com/primo-explore/search?tab=default_tab&amp;search_scope=EVERYTHING&amp;vid=01CRU&amp;lang=en_US&amp;offset=0&amp;query=any,contains,991000017349702656","Catalog Record")</f>
        <v/>
      </c>
      <c r="AT719">
        <f>HYPERLINK("http://www.worldcat.org/oclc/11399629","WorldCat Record")</f>
        <v/>
      </c>
      <c r="AU719" t="inlineStr">
        <is>
          <t>4239087:eng</t>
        </is>
      </c>
      <c r="AV719" t="inlineStr">
        <is>
          <t>11399629</t>
        </is>
      </c>
      <c r="AW719" t="inlineStr">
        <is>
          <t>991000017349702656</t>
        </is>
      </c>
      <c r="AX719" t="inlineStr">
        <is>
          <t>991000017349702656</t>
        </is>
      </c>
      <c r="AY719" t="inlineStr">
        <is>
          <t>2268359620002656</t>
        </is>
      </c>
      <c r="AZ719" t="inlineStr">
        <is>
          <t>BOOK</t>
        </is>
      </c>
      <c r="BB719" t="inlineStr">
        <is>
          <t>9780940136007</t>
        </is>
      </c>
      <c r="BC719" t="inlineStr">
        <is>
          <t>32285005589519</t>
        </is>
      </c>
      <c r="BD719" t="inlineStr">
        <is>
          <t>893521311</t>
        </is>
      </c>
    </row>
    <row r="720">
      <c r="A720" t="inlineStr">
        <is>
          <t>No</t>
        </is>
      </c>
      <c r="B720" t="inlineStr">
        <is>
          <t>BV4639 .S5 1944</t>
        </is>
      </c>
      <c r="C720" t="inlineStr">
        <is>
          <t>0                      BV 4639000S  5           1944</t>
        </is>
      </c>
      <c r="D720" t="inlineStr">
        <is>
          <t>Love one another / by Rt. Rev. Fulton J. Sheen.</t>
        </is>
      </c>
      <c r="F720" t="inlineStr">
        <is>
          <t>No</t>
        </is>
      </c>
      <c r="G720" t="inlineStr">
        <is>
          <t>1</t>
        </is>
      </c>
      <c r="H720" t="inlineStr">
        <is>
          <t>No</t>
        </is>
      </c>
      <c r="I720" t="inlineStr">
        <is>
          <t>No</t>
        </is>
      </c>
      <c r="J720" t="inlineStr">
        <is>
          <t>0</t>
        </is>
      </c>
      <c r="K720" t="inlineStr">
        <is>
          <t>Sheen, Fulton J. (Fulton John), 1895-1979.</t>
        </is>
      </c>
      <c r="L720" t="inlineStr">
        <is>
          <t>New York : P. J. Kenedy &amp; sons, [1944]</t>
        </is>
      </c>
      <c r="M720" t="inlineStr">
        <is>
          <t>1944</t>
        </is>
      </c>
      <c r="O720" t="inlineStr">
        <is>
          <t>eng</t>
        </is>
      </c>
      <c r="P720" t="inlineStr">
        <is>
          <t>nyu</t>
        </is>
      </c>
      <c r="R720" t="inlineStr">
        <is>
          <t xml:space="preserve">BV </t>
        </is>
      </c>
      <c r="S720" t="n">
        <v>2</v>
      </c>
      <c r="T720" t="n">
        <v>2</v>
      </c>
      <c r="U720" t="inlineStr">
        <is>
          <t>1995-08-03</t>
        </is>
      </c>
      <c r="V720" t="inlineStr">
        <is>
          <t>1995-08-03</t>
        </is>
      </c>
      <c r="W720" t="inlineStr">
        <is>
          <t>1992-03-04</t>
        </is>
      </c>
      <c r="X720" t="inlineStr">
        <is>
          <t>1992-03-04</t>
        </is>
      </c>
      <c r="Y720" t="n">
        <v>149</v>
      </c>
      <c r="Z720" t="n">
        <v>134</v>
      </c>
      <c r="AA720" t="n">
        <v>156</v>
      </c>
      <c r="AB720" t="n">
        <v>2</v>
      </c>
      <c r="AC720" t="n">
        <v>3</v>
      </c>
      <c r="AD720" t="n">
        <v>19</v>
      </c>
      <c r="AE720" t="n">
        <v>19</v>
      </c>
      <c r="AF720" t="n">
        <v>3</v>
      </c>
      <c r="AG720" t="n">
        <v>3</v>
      </c>
      <c r="AH720" t="n">
        <v>5</v>
      </c>
      <c r="AI720" t="n">
        <v>5</v>
      </c>
      <c r="AJ720" t="n">
        <v>14</v>
      </c>
      <c r="AK720" t="n">
        <v>14</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HYPERLINK("https://creighton-primo.hosted.exlibrisgroup.com/primo-explore/search?tab=default_tab&amp;search_scope=EVERYTHING&amp;vid=01CRU&amp;lang=en_US&amp;offset=0&amp;query=any,contains,991003980219702656","Catalog Record")</f>
        <v/>
      </c>
      <c r="AT720">
        <f>HYPERLINK("http://www.worldcat.org/oclc/2019534","WorldCat Record")</f>
        <v/>
      </c>
      <c r="AU720" t="inlineStr">
        <is>
          <t>2695202:eng</t>
        </is>
      </c>
      <c r="AV720" t="inlineStr">
        <is>
          <t>2019534</t>
        </is>
      </c>
      <c r="AW720" t="inlineStr">
        <is>
          <t>991003980219702656</t>
        </is>
      </c>
      <c r="AX720" t="inlineStr">
        <is>
          <t>991003980219702656</t>
        </is>
      </c>
      <c r="AY720" t="inlineStr">
        <is>
          <t>2260074820002656</t>
        </is>
      </c>
      <c r="AZ720" t="inlineStr">
        <is>
          <t>BOOK</t>
        </is>
      </c>
      <c r="BC720" t="inlineStr">
        <is>
          <t>32285000968221</t>
        </is>
      </c>
      <c r="BD720" t="inlineStr">
        <is>
          <t>893410967</t>
        </is>
      </c>
    </row>
    <row r="721">
      <c r="A721" t="inlineStr">
        <is>
          <t>No</t>
        </is>
      </c>
      <c r="B721" t="inlineStr">
        <is>
          <t>BV4639 .V258</t>
        </is>
      </c>
      <c r="C721" t="inlineStr">
        <is>
          <t>0                      BV 4639000V  258</t>
        </is>
      </c>
      <c r="D721" t="inlineStr">
        <is>
          <t>The mystery of transforming love / by Adrian Van Kaam.</t>
        </is>
      </c>
      <c r="F721" t="inlineStr">
        <is>
          <t>No</t>
        </is>
      </c>
      <c r="G721" t="inlineStr">
        <is>
          <t>1</t>
        </is>
      </c>
      <c r="H721" t="inlineStr">
        <is>
          <t>No</t>
        </is>
      </c>
      <c r="I721" t="inlineStr">
        <is>
          <t>No</t>
        </is>
      </c>
      <c r="J721" t="inlineStr">
        <is>
          <t>0</t>
        </is>
      </c>
      <c r="K721" t="inlineStr">
        <is>
          <t>Van Kaam, Adrian L., 1920-2007.</t>
        </is>
      </c>
      <c r="L721" t="inlineStr">
        <is>
          <t>Denville, N.J. : Dimension Books, c1982.</t>
        </is>
      </c>
      <c r="M721" t="inlineStr">
        <is>
          <t>1982</t>
        </is>
      </c>
      <c r="O721" t="inlineStr">
        <is>
          <t>eng</t>
        </is>
      </c>
      <c r="P721" t="inlineStr">
        <is>
          <t>nju</t>
        </is>
      </c>
      <c r="R721" t="inlineStr">
        <is>
          <t xml:space="preserve">BV </t>
        </is>
      </c>
      <c r="S721" t="n">
        <v>5</v>
      </c>
      <c r="T721" t="n">
        <v>5</v>
      </c>
      <c r="U721" t="inlineStr">
        <is>
          <t>2001-07-25</t>
        </is>
      </c>
      <c r="V721" t="inlineStr">
        <is>
          <t>2001-07-25</t>
        </is>
      </c>
      <c r="W721" t="inlineStr">
        <is>
          <t>1992-03-04</t>
        </is>
      </c>
      <c r="X721" t="inlineStr">
        <is>
          <t>1992-03-04</t>
        </is>
      </c>
      <c r="Y721" t="n">
        <v>135</v>
      </c>
      <c r="Z721" t="n">
        <v>114</v>
      </c>
      <c r="AA721" t="n">
        <v>115</v>
      </c>
      <c r="AB721" t="n">
        <v>2</v>
      </c>
      <c r="AC721" t="n">
        <v>2</v>
      </c>
      <c r="AD721" t="n">
        <v>14</v>
      </c>
      <c r="AE721" t="n">
        <v>14</v>
      </c>
      <c r="AF721" t="n">
        <v>2</v>
      </c>
      <c r="AG721" t="n">
        <v>2</v>
      </c>
      <c r="AH721" t="n">
        <v>4</v>
      </c>
      <c r="AI721" t="n">
        <v>4</v>
      </c>
      <c r="AJ721" t="n">
        <v>10</v>
      </c>
      <c r="AK721" t="n">
        <v>10</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HYPERLINK("https://creighton-primo.hosted.exlibrisgroup.com/primo-explore/search?tab=default_tab&amp;search_scope=EVERYTHING&amp;vid=01CRU&amp;lang=en_US&amp;offset=0&amp;query=any,contains,991005234449702656","Catalog Record")</f>
        <v/>
      </c>
      <c r="AT721">
        <f>HYPERLINK("http://www.worldcat.org/oclc/8353517","WorldCat Record")</f>
        <v/>
      </c>
      <c r="AU721" t="inlineStr">
        <is>
          <t>31435793:eng</t>
        </is>
      </c>
      <c r="AV721" t="inlineStr">
        <is>
          <t>8353517</t>
        </is>
      </c>
      <c r="AW721" t="inlineStr">
        <is>
          <t>991005234449702656</t>
        </is>
      </c>
      <c r="AX721" t="inlineStr">
        <is>
          <t>991005234449702656</t>
        </is>
      </c>
      <c r="AY721" t="inlineStr">
        <is>
          <t>2258336990002656</t>
        </is>
      </c>
      <c r="AZ721" t="inlineStr">
        <is>
          <t>BOOK</t>
        </is>
      </c>
      <c r="BB721" t="inlineStr">
        <is>
          <t>9780871931764</t>
        </is>
      </c>
      <c r="BC721" t="inlineStr">
        <is>
          <t>32285000968262</t>
        </is>
      </c>
      <c r="BD721" t="inlineStr">
        <is>
          <t>893527143</t>
        </is>
      </c>
    </row>
    <row r="722">
      <c r="A722" t="inlineStr">
        <is>
          <t>No</t>
        </is>
      </c>
      <c r="B722" t="inlineStr">
        <is>
          <t>BV4639 .W484 1968</t>
        </is>
      </c>
      <c r="C722" t="inlineStr">
        <is>
          <t>0                      BV 4639000W  484         1968</t>
        </is>
      </c>
      <c r="D722" t="inlineStr">
        <is>
          <t>The spirit and the forms of love / by Daniel Day Williams.</t>
        </is>
      </c>
      <c r="F722" t="inlineStr">
        <is>
          <t>No</t>
        </is>
      </c>
      <c r="G722" t="inlineStr">
        <is>
          <t>1</t>
        </is>
      </c>
      <c r="H722" t="inlineStr">
        <is>
          <t>No</t>
        </is>
      </c>
      <c r="I722" t="inlineStr">
        <is>
          <t>No</t>
        </is>
      </c>
      <c r="J722" t="inlineStr">
        <is>
          <t>0</t>
        </is>
      </c>
      <c r="K722" t="inlineStr">
        <is>
          <t>Williams, Daniel Day, 1910-1973.</t>
        </is>
      </c>
      <c r="L722" t="inlineStr">
        <is>
          <t>New York, Harper &amp; Row [1968]</t>
        </is>
      </c>
      <c r="M722" t="inlineStr">
        <is>
          <t>1968</t>
        </is>
      </c>
      <c r="N722" t="inlineStr">
        <is>
          <t>[1st U.S. ed.]</t>
        </is>
      </c>
      <c r="O722" t="inlineStr">
        <is>
          <t>eng</t>
        </is>
      </c>
      <c r="P722" t="inlineStr">
        <is>
          <t>nyu</t>
        </is>
      </c>
      <c r="R722" t="inlineStr">
        <is>
          <t xml:space="preserve">BV </t>
        </is>
      </c>
      <c r="S722" t="n">
        <v>3</v>
      </c>
      <c r="T722" t="n">
        <v>3</v>
      </c>
      <c r="U722" t="inlineStr">
        <is>
          <t>2005-09-13</t>
        </is>
      </c>
      <c r="V722" t="inlineStr">
        <is>
          <t>2005-09-13</t>
        </is>
      </c>
      <c r="W722" t="inlineStr">
        <is>
          <t>1992-03-04</t>
        </is>
      </c>
      <c r="X722" t="inlineStr">
        <is>
          <t>1992-03-04</t>
        </is>
      </c>
      <c r="Y722" t="n">
        <v>723</v>
      </c>
      <c r="Z722" t="n">
        <v>666</v>
      </c>
      <c r="AA722" t="n">
        <v>784</v>
      </c>
      <c r="AB722" t="n">
        <v>9</v>
      </c>
      <c r="AC722" t="n">
        <v>9</v>
      </c>
      <c r="AD722" t="n">
        <v>40</v>
      </c>
      <c r="AE722" t="n">
        <v>47</v>
      </c>
      <c r="AF722" t="n">
        <v>15</v>
      </c>
      <c r="AG722" t="n">
        <v>18</v>
      </c>
      <c r="AH722" t="n">
        <v>9</v>
      </c>
      <c r="AI722" t="n">
        <v>10</v>
      </c>
      <c r="AJ722" t="n">
        <v>21</v>
      </c>
      <c r="AK722" t="n">
        <v>25</v>
      </c>
      <c r="AL722" t="n">
        <v>7</v>
      </c>
      <c r="AM722" t="n">
        <v>7</v>
      </c>
      <c r="AN722" t="n">
        <v>0</v>
      </c>
      <c r="AO722" t="n">
        <v>0</v>
      </c>
      <c r="AP722" t="inlineStr">
        <is>
          <t>No</t>
        </is>
      </c>
      <c r="AQ722" t="inlineStr">
        <is>
          <t>Yes</t>
        </is>
      </c>
      <c r="AR722">
        <f>HYPERLINK("http://catalog.hathitrust.org/Record/001414899","HathiTrust Record")</f>
        <v/>
      </c>
      <c r="AS722">
        <f>HYPERLINK("https://creighton-primo.hosted.exlibrisgroup.com/primo-explore/search?tab=default_tab&amp;search_scope=EVERYTHING&amp;vid=01CRU&amp;lang=en_US&amp;offset=0&amp;query=any,contains,991002232399702656","Catalog Record")</f>
        <v/>
      </c>
      <c r="AT722">
        <f>HYPERLINK("http://www.worldcat.org/oclc/294581","WorldCat Record")</f>
        <v/>
      </c>
      <c r="AU722" t="inlineStr">
        <is>
          <t>483256:eng</t>
        </is>
      </c>
      <c r="AV722" t="inlineStr">
        <is>
          <t>294581</t>
        </is>
      </c>
      <c r="AW722" t="inlineStr">
        <is>
          <t>991002232399702656</t>
        </is>
      </c>
      <c r="AX722" t="inlineStr">
        <is>
          <t>991002232399702656</t>
        </is>
      </c>
      <c r="AY722" t="inlineStr">
        <is>
          <t>2268605280002656</t>
        </is>
      </c>
      <c r="AZ722" t="inlineStr">
        <is>
          <t>BOOK</t>
        </is>
      </c>
      <c r="BC722" t="inlineStr">
        <is>
          <t>32285000968296</t>
        </is>
      </c>
      <c r="BD722" t="inlineStr">
        <is>
          <t>893886001</t>
        </is>
      </c>
    </row>
    <row r="723">
      <c r="A723" t="inlineStr">
        <is>
          <t>No</t>
        </is>
      </c>
      <c r="B723" t="inlineStr">
        <is>
          <t>BV4639.N8 D5 1976</t>
        </is>
      </c>
      <c r="C723" t="inlineStr">
        <is>
          <t>0                      BV 4639000N  8                  D  5           1976</t>
        </is>
      </c>
      <c r="D723" t="inlineStr">
        <is>
          <t>The Christian meaning of love : a study of the thought of Anders Nygren / Donald Dietz.</t>
        </is>
      </c>
      <c r="F723" t="inlineStr">
        <is>
          <t>No</t>
        </is>
      </c>
      <c r="G723" t="inlineStr">
        <is>
          <t>1</t>
        </is>
      </c>
      <c r="H723" t="inlineStr">
        <is>
          <t>No</t>
        </is>
      </c>
      <c r="I723" t="inlineStr">
        <is>
          <t>No</t>
        </is>
      </c>
      <c r="J723" t="inlineStr">
        <is>
          <t>0</t>
        </is>
      </c>
      <c r="K723" t="inlineStr">
        <is>
          <t>Dietz, Donald.</t>
        </is>
      </c>
      <c r="L723" t="inlineStr">
        <is>
          <t>San Antonio, Tx : [s.n.] 1976.</t>
        </is>
      </c>
      <c r="M723" t="inlineStr">
        <is>
          <t>1976</t>
        </is>
      </c>
      <c r="O723" t="inlineStr">
        <is>
          <t>eng</t>
        </is>
      </c>
      <c r="P723" t="inlineStr">
        <is>
          <t>txu</t>
        </is>
      </c>
      <c r="R723" t="inlineStr">
        <is>
          <t xml:space="preserve">BV </t>
        </is>
      </c>
      <c r="S723" t="n">
        <v>5</v>
      </c>
      <c r="T723" t="n">
        <v>5</v>
      </c>
      <c r="U723" t="inlineStr">
        <is>
          <t>2000-08-28</t>
        </is>
      </c>
      <c r="V723" t="inlineStr">
        <is>
          <t>2000-08-28</t>
        </is>
      </c>
      <c r="W723" t="inlineStr">
        <is>
          <t>1992-03-04</t>
        </is>
      </c>
      <c r="X723" t="inlineStr">
        <is>
          <t>1992-03-04</t>
        </is>
      </c>
      <c r="Y723" t="n">
        <v>40</v>
      </c>
      <c r="Z723" t="n">
        <v>35</v>
      </c>
      <c r="AA723" t="n">
        <v>38</v>
      </c>
      <c r="AB723" t="n">
        <v>1</v>
      </c>
      <c r="AC723" t="n">
        <v>1</v>
      </c>
      <c r="AD723" t="n">
        <v>4</v>
      </c>
      <c r="AE723" t="n">
        <v>4</v>
      </c>
      <c r="AF723" t="n">
        <v>1</v>
      </c>
      <c r="AG723" t="n">
        <v>1</v>
      </c>
      <c r="AH723" t="n">
        <v>1</v>
      </c>
      <c r="AI723" t="n">
        <v>1</v>
      </c>
      <c r="AJ723" t="n">
        <v>3</v>
      </c>
      <c r="AK723" t="n">
        <v>3</v>
      </c>
      <c r="AL723" t="n">
        <v>0</v>
      </c>
      <c r="AM723" t="n">
        <v>0</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HYPERLINK("https://creighton-primo.hosted.exlibrisgroup.com/primo-explore/search?tab=default_tab&amp;search_scope=EVERYTHING&amp;vid=01CRU&amp;lang=en_US&amp;offset=0&amp;query=any,contains,991005370199702656","Catalog Record")</f>
        <v/>
      </c>
      <c r="AT723">
        <f>HYPERLINK("http://www.worldcat.org/oclc/2794040","WorldCat Record")</f>
        <v/>
      </c>
      <c r="AU723" t="inlineStr">
        <is>
          <t>288893681:eng</t>
        </is>
      </c>
      <c r="AV723" t="inlineStr">
        <is>
          <t>2794040</t>
        </is>
      </c>
      <c r="AW723" t="inlineStr">
        <is>
          <t>991005370199702656</t>
        </is>
      </c>
      <c r="AX723" t="inlineStr">
        <is>
          <t>991005370199702656</t>
        </is>
      </c>
      <c r="AY723" t="inlineStr">
        <is>
          <t>2264515040002656</t>
        </is>
      </c>
      <c r="AZ723" t="inlineStr">
        <is>
          <t>BOOK</t>
        </is>
      </c>
      <c r="BC723" t="inlineStr">
        <is>
          <t>32285000968171</t>
        </is>
      </c>
      <c r="BD723" t="inlineStr">
        <is>
          <t>893345095</t>
        </is>
      </c>
    </row>
    <row r="724">
      <c r="A724" t="inlineStr">
        <is>
          <t>No</t>
        </is>
      </c>
      <c r="B724" t="inlineStr">
        <is>
          <t>BV4645 .L471 1999</t>
        </is>
      </c>
      <c r="C724" t="inlineStr">
        <is>
          <t>0                      BV 4645000L  471         1999</t>
        </is>
      </c>
      <c r="D724" t="inlineStr">
        <is>
          <t>Leonardus Lessius' De iustitia et iure / Louis Baeck ... [et al.].</t>
        </is>
      </c>
      <c r="F724" t="inlineStr">
        <is>
          <t>No</t>
        </is>
      </c>
      <c r="G724" t="inlineStr">
        <is>
          <t>1</t>
        </is>
      </c>
      <c r="H724" t="inlineStr">
        <is>
          <t>No</t>
        </is>
      </c>
      <c r="I724" t="inlineStr">
        <is>
          <t>No</t>
        </is>
      </c>
      <c r="J724" t="inlineStr">
        <is>
          <t>0</t>
        </is>
      </c>
      <c r="K724" t="inlineStr">
        <is>
          <t>Baeck, Louis.</t>
        </is>
      </c>
      <c r="L724" t="inlineStr">
        <is>
          <t>D©ơsseldorf : Verlag Wirtschaft und Finanzen, c1999.</t>
        </is>
      </c>
      <c r="M724" t="inlineStr">
        <is>
          <t>1999</t>
        </is>
      </c>
      <c r="O724" t="inlineStr">
        <is>
          <t>ger</t>
        </is>
      </c>
      <c r="P724" t="inlineStr">
        <is>
          <t xml:space="preserve">gw </t>
        </is>
      </c>
      <c r="Q724" t="inlineStr">
        <is>
          <t>Die Handelsblatt-Bibliothek "Klassiker der National©œkonomie"</t>
        </is>
      </c>
      <c r="R724" t="inlineStr">
        <is>
          <t xml:space="preserve">BV </t>
        </is>
      </c>
      <c r="S724" t="n">
        <v>12</v>
      </c>
      <c r="T724" t="n">
        <v>12</v>
      </c>
      <c r="U724" t="inlineStr">
        <is>
          <t>2010-12-03</t>
        </is>
      </c>
      <c r="V724" t="inlineStr">
        <is>
          <t>2010-12-03</t>
        </is>
      </c>
      <c r="W724" t="inlineStr">
        <is>
          <t>2000-04-11</t>
        </is>
      </c>
      <c r="X724" t="inlineStr">
        <is>
          <t>2000-04-11</t>
        </is>
      </c>
      <c r="Y724" t="n">
        <v>9</v>
      </c>
      <c r="Z724" t="n">
        <v>3</v>
      </c>
      <c r="AA724" t="n">
        <v>3</v>
      </c>
      <c r="AB724" t="n">
        <v>1</v>
      </c>
      <c r="AC724" t="n">
        <v>1</v>
      </c>
      <c r="AD724" t="n">
        <v>2</v>
      </c>
      <c r="AE724" t="n">
        <v>2</v>
      </c>
      <c r="AF724" t="n">
        <v>0</v>
      </c>
      <c r="AG724" t="n">
        <v>0</v>
      </c>
      <c r="AH724" t="n">
        <v>0</v>
      </c>
      <c r="AI724" t="n">
        <v>0</v>
      </c>
      <c r="AJ724" t="n">
        <v>2</v>
      </c>
      <c r="AK724" t="n">
        <v>2</v>
      </c>
      <c r="AL724" t="n">
        <v>0</v>
      </c>
      <c r="AM724" t="n">
        <v>0</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HYPERLINK("https://creighton-primo.hosted.exlibrisgroup.com/primo-explore/search?tab=default_tab&amp;search_scope=EVERYTHING&amp;vid=01CRU&amp;lang=en_US&amp;offset=0&amp;query=any,contains,991003037459702656","Catalog Record")</f>
        <v/>
      </c>
      <c r="AT724">
        <f>HYPERLINK("http://www.worldcat.org/oclc/41899054","WorldCat Record")</f>
        <v/>
      </c>
      <c r="AU724" t="inlineStr">
        <is>
          <t>45154229:ger</t>
        </is>
      </c>
      <c r="AV724" t="inlineStr">
        <is>
          <t>41899054</t>
        </is>
      </c>
      <c r="AW724" t="inlineStr">
        <is>
          <t>991003037459702656</t>
        </is>
      </c>
      <c r="AX724" t="inlineStr">
        <is>
          <t>991003037459702656</t>
        </is>
      </c>
      <c r="AY724" t="inlineStr">
        <is>
          <t>2255841040002656</t>
        </is>
      </c>
      <c r="AZ724" t="inlineStr">
        <is>
          <t>BOOK</t>
        </is>
      </c>
      <c r="BB724" t="inlineStr">
        <is>
          <t>9783878811374</t>
        </is>
      </c>
      <c r="BC724" t="inlineStr">
        <is>
          <t>32285003676201</t>
        </is>
      </c>
      <c r="BD724" t="inlineStr">
        <is>
          <t>893592123</t>
        </is>
      </c>
    </row>
    <row r="725">
      <c r="A725" t="inlineStr">
        <is>
          <t>No</t>
        </is>
      </c>
      <c r="B725" t="inlineStr">
        <is>
          <t>BV4647.C5 D77</t>
        </is>
      </c>
      <c r="C725" t="inlineStr">
        <is>
          <t>0                      BV 4647000C  5                  D  77</t>
        </is>
      </c>
      <c r="D725" t="inlineStr">
        <is>
          <t>A call to virginity? / Thomas Dubay.</t>
        </is>
      </c>
      <c r="F725" t="inlineStr">
        <is>
          <t>No</t>
        </is>
      </c>
      <c r="G725" t="inlineStr">
        <is>
          <t>1</t>
        </is>
      </c>
      <c r="H725" t="inlineStr">
        <is>
          <t>No</t>
        </is>
      </c>
      <c r="I725" t="inlineStr">
        <is>
          <t>No</t>
        </is>
      </c>
      <c r="J725" t="inlineStr">
        <is>
          <t>0</t>
        </is>
      </c>
      <c r="K725" t="inlineStr">
        <is>
          <t>Dubay, Thomas.</t>
        </is>
      </c>
      <c r="L725" t="inlineStr">
        <is>
          <t>Huntington, IN : Our Sunday Visitor, inc., c1977.</t>
        </is>
      </c>
      <c r="M725" t="inlineStr">
        <is>
          <t>1977</t>
        </is>
      </c>
      <c r="O725" t="inlineStr">
        <is>
          <t>eng</t>
        </is>
      </c>
      <c r="P725" t="inlineStr">
        <is>
          <t xml:space="preserve">xx </t>
        </is>
      </c>
      <c r="R725" t="inlineStr">
        <is>
          <t xml:space="preserve">BV </t>
        </is>
      </c>
      <c r="S725" t="n">
        <v>7</v>
      </c>
      <c r="T725" t="n">
        <v>7</v>
      </c>
      <c r="U725" t="inlineStr">
        <is>
          <t>1999-06-30</t>
        </is>
      </c>
      <c r="V725" t="inlineStr">
        <is>
          <t>1999-06-30</t>
        </is>
      </c>
      <c r="W725" t="inlineStr">
        <is>
          <t>1992-03-04</t>
        </is>
      </c>
      <c r="X725" t="inlineStr">
        <is>
          <t>1992-03-04</t>
        </is>
      </c>
      <c r="Y725" t="n">
        <v>46</v>
      </c>
      <c r="Z725" t="n">
        <v>37</v>
      </c>
      <c r="AA725" t="n">
        <v>42</v>
      </c>
      <c r="AB725" t="n">
        <v>1</v>
      </c>
      <c r="AC725" t="n">
        <v>1</v>
      </c>
      <c r="AD725" t="n">
        <v>7</v>
      </c>
      <c r="AE725" t="n">
        <v>7</v>
      </c>
      <c r="AF725" t="n">
        <v>2</v>
      </c>
      <c r="AG725" t="n">
        <v>2</v>
      </c>
      <c r="AH725" t="n">
        <v>2</v>
      </c>
      <c r="AI725" t="n">
        <v>2</v>
      </c>
      <c r="AJ725" t="n">
        <v>5</v>
      </c>
      <c r="AK725" t="n">
        <v>5</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HYPERLINK("https://creighton-primo.hosted.exlibrisgroup.com/primo-explore/search?tab=default_tab&amp;search_scope=EVERYTHING&amp;vid=01CRU&amp;lang=en_US&amp;offset=0&amp;query=any,contains,991004294989702656","Catalog Record")</f>
        <v/>
      </c>
      <c r="AT725">
        <f>HYPERLINK("http://www.worldcat.org/oclc/2962875","WorldCat Record")</f>
        <v/>
      </c>
      <c r="AU725" t="inlineStr">
        <is>
          <t>6560094:eng</t>
        </is>
      </c>
      <c r="AV725" t="inlineStr">
        <is>
          <t>2962875</t>
        </is>
      </c>
      <c r="AW725" t="inlineStr">
        <is>
          <t>991004294989702656</t>
        </is>
      </c>
      <c r="AX725" t="inlineStr">
        <is>
          <t>991004294989702656</t>
        </is>
      </c>
      <c r="AY725" t="inlineStr">
        <is>
          <t>2269751250002656</t>
        </is>
      </c>
      <c r="AZ725" t="inlineStr">
        <is>
          <t>BOOK</t>
        </is>
      </c>
      <c r="BB725" t="inlineStr">
        <is>
          <t>9780879737450</t>
        </is>
      </c>
      <c r="BC725" t="inlineStr">
        <is>
          <t>32285000968361</t>
        </is>
      </c>
      <c r="BD725" t="inlineStr">
        <is>
          <t>893875928</t>
        </is>
      </c>
    </row>
    <row r="726">
      <c r="A726" t="inlineStr">
        <is>
          <t>No</t>
        </is>
      </c>
      <c r="B726" t="inlineStr">
        <is>
          <t>BV4647.C5 G76 1985</t>
        </is>
      </c>
      <c r="C726" t="inlineStr">
        <is>
          <t>0                      BV 4647000C  5                  G  76          1985</t>
        </is>
      </c>
      <c r="D726" t="inlineStr">
        <is>
          <t>The courage to be chaste / Benedict J. Groeschel.</t>
        </is>
      </c>
      <c r="F726" t="inlineStr">
        <is>
          <t>No</t>
        </is>
      </c>
      <c r="G726" t="inlineStr">
        <is>
          <t>1</t>
        </is>
      </c>
      <c r="H726" t="inlineStr">
        <is>
          <t>No</t>
        </is>
      </c>
      <c r="I726" t="inlineStr">
        <is>
          <t>No</t>
        </is>
      </c>
      <c r="J726" t="inlineStr">
        <is>
          <t>0</t>
        </is>
      </c>
      <c r="K726" t="inlineStr">
        <is>
          <t>Groeschel, Benedict J.</t>
        </is>
      </c>
      <c r="L726" t="inlineStr">
        <is>
          <t>New York : Paulist Press, c1985.</t>
        </is>
      </c>
      <c r="M726" t="inlineStr">
        <is>
          <t>1985</t>
        </is>
      </c>
      <c r="O726" t="inlineStr">
        <is>
          <t>eng</t>
        </is>
      </c>
      <c r="P726" t="inlineStr">
        <is>
          <t>nyu</t>
        </is>
      </c>
      <c r="R726" t="inlineStr">
        <is>
          <t xml:space="preserve">BV </t>
        </is>
      </c>
      <c r="S726" t="n">
        <v>14</v>
      </c>
      <c r="T726" t="n">
        <v>14</v>
      </c>
      <c r="U726" t="inlineStr">
        <is>
          <t>2009-10-02</t>
        </is>
      </c>
      <c r="V726" t="inlineStr">
        <is>
          <t>2009-10-02</t>
        </is>
      </c>
      <c r="W726" t="inlineStr">
        <is>
          <t>1992-02-24</t>
        </is>
      </c>
      <c r="X726" t="inlineStr">
        <is>
          <t>1992-02-24</t>
        </is>
      </c>
      <c r="Y726" t="n">
        <v>283</v>
      </c>
      <c r="Z726" t="n">
        <v>250</v>
      </c>
      <c r="AA726" t="n">
        <v>250</v>
      </c>
      <c r="AB726" t="n">
        <v>3</v>
      </c>
      <c r="AC726" t="n">
        <v>3</v>
      </c>
      <c r="AD726" t="n">
        <v>19</v>
      </c>
      <c r="AE726" t="n">
        <v>19</v>
      </c>
      <c r="AF726" t="n">
        <v>6</v>
      </c>
      <c r="AG726" t="n">
        <v>6</v>
      </c>
      <c r="AH726" t="n">
        <v>3</v>
      </c>
      <c r="AI726" t="n">
        <v>3</v>
      </c>
      <c r="AJ726" t="n">
        <v>13</v>
      </c>
      <c r="AK726" t="n">
        <v>13</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HYPERLINK("https://creighton-primo.hosted.exlibrisgroup.com/primo-explore/search?tab=default_tab&amp;search_scope=EVERYTHING&amp;vid=01CRU&amp;lang=en_US&amp;offset=0&amp;query=any,contains,991000676369702656","Catalog Record")</f>
        <v/>
      </c>
      <c r="AT726">
        <f>HYPERLINK("http://www.worldcat.org/oclc/12355495","WorldCat Record")</f>
        <v/>
      </c>
      <c r="AU726" t="inlineStr">
        <is>
          <t>2829735436:eng</t>
        </is>
      </c>
      <c r="AV726" t="inlineStr">
        <is>
          <t>12355495</t>
        </is>
      </c>
      <c r="AW726" t="inlineStr">
        <is>
          <t>991000676369702656</t>
        </is>
      </c>
      <c r="AX726" t="inlineStr">
        <is>
          <t>991000676369702656</t>
        </is>
      </c>
      <c r="AY726" t="inlineStr">
        <is>
          <t>2267445970002656</t>
        </is>
      </c>
      <c r="AZ726" t="inlineStr">
        <is>
          <t>BOOK</t>
        </is>
      </c>
      <c r="BB726" t="inlineStr">
        <is>
          <t>9780809127054</t>
        </is>
      </c>
      <c r="BC726" t="inlineStr">
        <is>
          <t>32285000975317</t>
        </is>
      </c>
      <c r="BD726" t="inlineStr">
        <is>
          <t>893626401</t>
        </is>
      </c>
    </row>
    <row r="727">
      <c r="A727" t="inlineStr">
        <is>
          <t>No</t>
        </is>
      </c>
      <c r="B727" t="inlineStr">
        <is>
          <t>BV4647.F55 H35 1987</t>
        </is>
      </c>
      <c r="C727" t="inlineStr">
        <is>
          <t>0                      BV 4647000F  55                 H  35          1987</t>
        </is>
      </c>
      <c r="D727" t="inlineStr">
        <is>
          <t>Forgiving, present perfect / Marlene Halpin.</t>
        </is>
      </c>
      <c r="F727" t="inlineStr">
        <is>
          <t>No</t>
        </is>
      </c>
      <c r="G727" t="inlineStr">
        <is>
          <t>1</t>
        </is>
      </c>
      <c r="H727" t="inlineStr">
        <is>
          <t>No</t>
        </is>
      </c>
      <c r="I727" t="inlineStr">
        <is>
          <t>No</t>
        </is>
      </c>
      <c r="J727" t="inlineStr">
        <is>
          <t>0</t>
        </is>
      </c>
      <c r="K727" t="inlineStr">
        <is>
          <t>Halpin, Marlene.</t>
        </is>
      </c>
      <c r="L727" t="inlineStr">
        <is>
          <t>Dubuque, Iowa : Religious Education Division, W.C. Brown Co., c1987.</t>
        </is>
      </c>
      <c r="M727" t="inlineStr">
        <is>
          <t>1987</t>
        </is>
      </c>
      <c r="O727" t="inlineStr">
        <is>
          <t>eng</t>
        </is>
      </c>
      <c r="P727" t="inlineStr">
        <is>
          <t>iau</t>
        </is>
      </c>
      <c r="R727" t="inlineStr">
        <is>
          <t xml:space="preserve">BV </t>
        </is>
      </c>
      <c r="S727" t="n">
        <v>2</v>
      </c>
      <c r="T727" t="n">
        <v>2</v>
      </c>
      <c r="U727" t="inlineStr">
        <is>
          <t>1998-10-02</t>
        </is>
      </c>
      <c r="V727" t="inlineStr">
        <is>
          <t>1998-10-02</t>
        </is>
      </c>
      <c r="W727" t="inlineStr">
        <is>
          <t>1993-12-28</t>
        </is>
      </c>
      <c r="X727" t="inlineStr">
        <is>
          <t>1993-12-28</t>
        </is>
      </c>
      <c r="Y727" t="n">
        <v>51</v>
      </c>
      <c r="Z727" t="n">
        <v>47</v>
      </c>
      <c r="AA727" t="n">
        <v>52</v>
      </c>
      <c r="AB727" t="n">
        <v>1</v>
      </c>
      <c r="AC727" t="n">
        <v>1</v>
      </c>
      <c r="AD727" t="n">
        <v>6</v>
      </c>
      <c r="AE727" t="n">
        <v>6</v>
      </c>
      <c r="AF727" t="n">
        <v>0</v>
      </c>
      <c r="AG727" t="n">
        <v>0</v>
      </c>
      <c r="AH727" t="n">
        <v>3</v>
      </c>
      <c r="AI727" t="n">
        <v>3</v>
      </c>
      <c r="AJ727" t="n">
        <v>3</v>
      </c>
      <c r="AK727" t="n">
        <v>3</v>
      </c>
      <c r="AL727" t="n">
        <v>0</v>
      </c>
      <c r="AM727" t="n">
        <v>0</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HYPERLINK("https://creighton-primo.hosted.exlibrisgroup.com/primo-explore/search?tab=default_tab&amp;search_scope=EVERYTHING&amp;vid=01CRU&amp;lang=en_US&amp;offset=0&amp;query=any,contains,991001324169702656","Catalog Record")</f>
        <v/>
      </c>
      <c r="AT727">
        <f>HYPERLINK("http://www.worldcat.org/oclc/18258161","WorldCat Record")</f>
        <v/>
      </c>
      <c r="AU727" t="inlineStr">
        <is>
          <t>5221199283:eng</t>
        </is>
      </c>
      <c r="AV727" t="inlineStr">
        <is>
          <t>18258161</t>
        </is>
      </c>
      <c r="AW727" t="inlineStr">
        <is>
          <t>991001324169702656</t>
        </is>
      </c>
      <c r="AX727" t="inlineStr">
        <is>
          <t>991001324169702656</t>
        </is>
      </c>
      <c r="AY727" t="inlineStr">
        <is>
          <t>2255050530002656</t>
        </is>
      </c>
      <c r="AZ727" t="inlineStr">
        <is>
          <t>BOOK</t>
        </is>
      </c>
      <c r="BB727" t="inlineStr">
        <is>
          <t>9780697022752</t>
        </is>
      </c>
      <c r="BC727" t="inlineStr">
        <is>
          <t>32285001803815</t>
        </is>
      </c>
      <c r="BD727" t="inlineStr">
        <is>
          <t>893321838</t>
        </is>
      </c>
    </row>
    <row r="728">
      <c r="A728" t="inlineStr">
        <is>
          <t>No</t>
        </is>
      </c>
      <c r="B728" t="inlineStr">
        <is>
          <t>BV4647.F7 W53 1996</t>
        </is>
      </c>
      <c r="C728" t="inlineStr">
        <is>
          <t>0                      BV 4647000F  7                  W  53          1996</t>
        </is>
      </c>
      <c r="D728" t="inlineStr">
        <is>
          <t>A Circle of friends : encountering the caring voices in your life / Robert J. Wicks ; Robert M. Hamma.</t>
        </is>
      </c>
      <c r="F728" t="inlineStr">
        <is>
          <t>No</t>
        </is>
      </c>
      <c r="G728" t="inlineStr">
        <is>
          <t>1</t>
        </is>
      </c>
      <c r="H728" t="inlineStr">
        <is>
          <t>No</t>
        </is>
      </c>
      <c r="I728" t="inlineStr">
        <is>
          <t>No</t>
        </is>
      </c>
      <c r="J728" t="inlineStr">
        <is>
          <t>0</t>
        </is>
      </c>
      <c r="K728" t="inlineStr">
        <is>
          <t>Wicks, Robert J.</t>
        </is>
      </c>
      <c r="L728" t="inlineStr">
        <is>
          <t>Notre Dame, Ind. : Ave Maria Press, c1996.</t>
        </is>
      </c>
      <c r="M728" t="inlineStr">
        <is>
          <t>1996</t>
        </is>
      </c>
      <c r="O728" t="inlineStr">
        <is>
          <t>eng</t>
        </is>
      </c>
      <c r="P728" t="inlineStr">
        <is>
          <t>inu</t>
        </is>
      </c>
      <c r="R728" t="inlineStr">
        <is>
          <t xml:space="preserve">BV </t>
        </is>
      </c>
      <c r="S728" t="n">
        <v>6</v>
      </c>
      <c r="T728" t="n">
        <v>6</v>
      </c>
      <c r="U728" t="inlineStr">
        <is>
          <t>2002-12-04</t>
        </is>
      </c>
      <c r="V728" t="inlineStr">
        <is>
          <t>2002-12-04</t>
        </is>
      </c>
      <c r="W728" t="inlineStr">
        <is>
          <t>1996-08-08</t>
        </is>
      </c>
      <c r="X728" t="inlineStr">
        <is>
          <t>1996-08-08</t>
        </is>
      </c>
      <c r="Y728" t="n">
        <v>47</v>
      </c>
      <c r="Z728" t="n">
        <v>46</v>
      </c>
      <c r="AA728" t="n">
        <v>51</v>
      </c>
      <c r="AB728" t="n">
        <v>2</v>
      </c>
      <c r="AC728" t="n">
        <v>2</v>
      </c>
      <c r="AD728" t="n">
        <v>3</v>
      </c>
      <c r="AE728" t="n">
        <v>3</v>
      </c>
      <c r="AF728" t="n">
        <v>1</v>
      </c>
      <c r="AG728" t="n">
        <v>1</v>
      </c>
      <c r="AH728" t="n">
        <v>0</v>
      </c>
      <c r="AI728" t="n">
        <v>0</v>
      </c>
      <c r="AJ728" t="n">
        <v>3</v>
      </c>
      <c r="AK728" t="n">
        <v>3</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HYPERLINK("https://creighton-primo.hosted.exlibrisgroup.com/primo-explore/search?tab=default_tab&amp;search_scope=EVERYTHING&amp;vid=01CRU&amp;lang=en_US&amp;offset=0&amp;query=any,contains,991002592929702656","Catalog Record")</f>
        <v/>
      </c>
      <c r="AT728">
        <f>HYPERLINK("http://www.worldcat.org/oclc/33969949","WorldCat Record")</f>
        <v/>
      </c>
      <c r="AU728" t="inlineStr">
        <is>
          <t>39044372:eng</t>
        </is>
      </c>
      <c r="AV728" t="inlineStr">
        <is>
          <t>33969949</t>
        </is>
      </c>
      <c r="AW728" t="inlineStr">
        <is>
          <t>991002592929702656</t>
        </is>
      </c>
      <c r="AX728" t="inlineStr">
        <is>
          <t>991002592929702656</t>
        </is>
      </c>
      <c r="AY728" t="inlineStr">
        <is>
          <t>2268382230002656</t>
        </is>
      </c>
      <c r="AZ728" t="inlineStr">
        <is>
          <t>BOOK</t>
        </is>
      </c>
      <c r="BB728" t="inlineStr">
        <is>
          <t>9780877935742</t>
        </is>
      </c>
      <c r="BC728" t="inlineStr">
        <is>
          <t>32285002272184</t>
        </is>
      </c>
      <c r="BD728" t="inlineStr">
        <is>
          <t>893610028</t>
        </is>
      </c>
    </row>
    <row r="729">
      <c r="A729" t="inlineStr">
        <is>
          <t>No</t>
        </is>
      </c>
      <c r="B729" t="inlineStr">
        <is>
          <t>BV4647.H67 .R53 2000</t>
        </is>
      </c>
      <c r="C729" t="inlineStr">
        <is>
          <t>0                      BV 4647000H  67                 R  53          2000</t>
        </is>
      </c>
      <c r="D729" t="inlineStr">
        <is>
          <t>Living the hospitality of God / Lucien Richard.</t>
        </is>
      </c>
      <c r="F729" t="inlineStr">
        <is>
          <t>No</t>
        </is>
      </c>
      <c r="G729" t="inlineStr">
        <is>
          <t>1</t>
        </is>
      </c>
      <c r="H729" t="inlineStr">
        <is>
          <t>No</t>
        </is>
      </c>
      <c r="I729" t="inlineStr">
        <is>
          <t>No</t>
        </is>
      </c>
      <c r="J729" t="inlineStr">
        <is>
          <t>0</t>
        </is>
      </c>
      <c r="K729" t="inlineStr">
        <is>
          <t>Richard, Lucien.</t>
        </is>
      </c>
      <c r="L729" t="inlineStr">
        <is>
          <t>New York : Paulist Press, c2000.</t>
        </is>
      </c>
      <c r="M729" t="inlineStr">
        <is>
          <t>2000</t>
        </is>
      </c>
      <c r="O729" t="inlineStr">
        <is>
          <t>eng</t>
        </is>
      </c>
      <c r="P729" t="inlineStr">
        <is>
          <t>nyu</t>
        </is>
      </c>
      <c r="R729" t="inlineStr">
        <is>
          <t xml:space="preserve">BV </t>
        </is>
      </c>
      <c r="S729" t="n">
        <v>4</v>
      </c>
      <c r="T729" t="n">
        <v>4</v>
      </c>
      <c r="U729" t="inlineStr">
        <is>
          <t>2001-07-16</t>
        </is>
      </c>
      <c r="V729" t="inlineStr">
        <is>
          <t>2001-07-16</t>
        </is>
      </c>
      <c r="W729" t="inlineStr">
        <is>
          <t>2001-03-29</t>
        </is>
      </c>
      <c r="X729" t="inlineStr">
        <is>
          <t>2001-03-29</t>
        </is>
      </c>
      <c r="Y729" t="n">
        <v>99</v>
      </c>
      <c r="Z729" t="n">
        <v>82</v>
      </c>
      <c r="AA729" t="n">
        <v>82</v>
      </c>
      <c r="AB729" t="n">
        <v>1</v>
      </c>
      <c r="AC729" t="n">
        <v>1</v>
      </c>
      <c r="AD729" t="n">
        <v>8</v>
      </c>
      <c r="AE729" t="n">
        <v>8</v>
      </c>
      <c r="AF729" t="n">
        <v>4</v>
      </c>
      <c r="AG729" t="n">
        <v>4</v>
      </c>
      <c r="AH729" t="n">
        <v>2</v>
      </c>
      <c r="AI729" t="n">
        <v>2</v>
      </c>
      <c r="AJ729" t="n">
        <v>4</v>
      </c>
      <c r="AK729" t="n">
        <v>4</v>
      </c>
      <c r="AL729" t="n">
        <v>0</v>
      </c>
      <c r="AM729" t="n">
        <v>0</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HYPERLINK("https://creighton-primo.hosted.exlibrisgroup.com/primo-explore/search?tab=default_tab&amp;search_scope=EVERYTHING&amp;vid=01CRU&amp;lang=en_US&amp;offset=0&amp;query=any,contains,991003517239702656","Catalog Record")</f>
        <v/>
      </c>
      <c r="AT729">
        <f>HYPERLINK("http://www.worldcat.org/oclc/44578968","WorldCat Record")</f>
        <v/>
      </c>
      <c r="AU729" t="inlineStr">
        <is>
          <t>34332341:eng</t>
        </is>
      </c>
      <c r="AV729" t="inlineStr">
        <is>
          <t>44578968</t>
        </is>
      </c>
      <c r="AW729" t="inlineStr">
        <is>
          <t>991003517239702656</t>
        </is>
      </c>
      <c r="AX729" t="inlineStr">
        <is>
          <t>991003517239702656</t>
        </is>
      </c>
      <c r="AY729" t="inlineStr">
        <is>
          <t>2267698480002656</t>
        </is>
      </c>
      <c r="AZ729" t="inlineStr">
        <is>
          <t>BOOK</t>
        </is>
      </c>
      <c r="BB729" t="inlineStr">
        <is>
          <t>9780809139989</t>
        </is>
      </c>
      <c r="BC729" t="inlineStr">
        <is>
          <t>32285004308689</t>
        </is>
      </c>
      <c r="BD729" t="inlineStr">
        <is>
          <t>893868511</t>
        </is>
      </c>
    </row>
    <row r="730">
      <c r="A730" t="inlineStr">
        <is>
          <t>No</t>
        </is>
      </c>
      <c r="B730" t="inlineStr">
        <is>
          <t>BV4647.H67 P64 1999</t>
        </is>
      </c>
      <c r="C730" t="inlineStr">
        <is>
          <t>0                      BV 4647000H  67                 P  64          1999</t>
        </is>
      </c>
      <c r="D730" t="inlineStr">
        <is>
          <t>Making room : recovering hospitality as a Christian tradition / Christine D. Pohl.</t>
        </is>
      </c>
      <c r="F730" t="inlineStr">
        <is>
          <t>No</t>
        </is>
      </c>
      <c r="G730" t="inlineStr">
        <is>
          <t>1</t>
        </is>
      </c>
      <c r="H730" t="inlineStr">
        <is>
          <t>No</t>
        </is>
      </c>
      <c r="I730" t="inlineStr">
        <is>
          <t>No</t>
        </is>
      </c>
      <c r="J730" t="inlineStr">
        <is>
          <t>0</t>
        </is>
      </c>
      <c r="K730" t="inlineStr">
        <is>
          <t>Pohl, Christine D.</t>
        </is>
      </c>
      <c r="L730" t="inlineStr">
        <is>
          <t>Grand Rapids, Mich. : W.B. Eerdmans, c1999.</t>
        </is>
      </c>
      <c r="M730" t="inlineStr">
        <is>
          <t>1999</t>
        </is>
      </c>
      <c r="O730" t="inlineStr">
        <is>
          <t>eng</t>
        </is>
      </c>
      <c r="P730" t="inlineStr">
        <is>
          <t>miu</t>
        </is>
      </c>
      <c r="R730" t="inlineStr">
        <is>
          <t xml:space="preserve">BV </t>
        </is>
      </c>
      <c r="S730" t="n">
        <v>2</v>
      </c>
      <c r="T730" t="n">
        <v>2</v>
      </c>
      <c r="U730" t="inlineStr">
        <is>
          <t>2006-07-03</t>
        </is>
      </c>
      <c r="V730" t="inlineStr">
        <is>
          <t>2006-07-03</t>
        </is>
      </c>
      <c r="W730" t="inlineStr">
        <is>
          <t>2006-05-23</t>
        </is>
      </c>
      <c r="X730" t="inlineStr">
        <is>
          <t>2006-05-23</t>
        </is>
      </c>
      <c r="Y730" t="n">
        <v>468</v>
      </c>
      <c r="Z730" t="n">
        <v>401</v>
      </c>
      <c r="AA730" t="n">
        <v>401</v>
      </c>
      <c r="AB730" t="n">
        <v>2</v>
      </c>
      <c r="AC730" t="n">
        <v>2</v>
      </c>
      <c r="AD730" t="n">
        <v>21</v>
      </c>
      <c r="AE730" t="n">
        <v>21</v>
      </c>
      <c r="AF730" t="n">
        <v>8</v>
      </c>
      <c r="AG730" t="n">
        <v>8</v>
      </c>
      <c r="AH730" t="n">
        <v>5</v>
      </c>
      <c r="AI730" t="n">
        <v>5</v>
      </c>
      <c r="AJ730" t="n">
        <v>12</v>
      </c>
      <c r="AK730" t="n">
        <v>12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HYPERLINK("https://creighton-primo.hosted.exlibrisgroup.com/primo-explore/search?tab=default_tab&amp;search_scope=EVERYTHING&amp;vid=01CRU&amp;lang=en_US&amp;offset=0&amp;query=any,contains,991004781109702656","Catalog Record")</f>
        <v/>
      </c>
      <c r="AT730">
        <f>HYPERLINK("http://www.worldcat.org/oclc/41338186","WorldCat Record")</f>
        <v/>
      </c>
      <c r="AU730" t="inlineStr">
        <is>
          <t>12228683:eng</t>
        </is>
      </c>
      <c r="AV730" t="inlineStr">
        <is>
          <t>41338186</t>
        </is>
      </c>
      <c r="AW730" t="inlineStr">
        <is>
          <t>991004781109702656</t>
        </is>
      </c>
      <c r="AX730" t="inlineStr">
        <is>
          <t>991004781109702656</t>
        </is>
      </c>
      <c r="AY730" t="inlineStr">
        <is>
          <t>2266721640002656</t>
        </is>
      </c>
      <c r="AZ730" t="inlineStr">
        <is>
          <t>BOOK</t>
        </is>
      </c>
      <c r="BB730" t="inlineStr">
        <is>
          <t>9780802844316</t>
        </is>
      </c>
      <c r="BC730" t="inlineStr">
        <is>
          <t>32285005188601</t>
        </is>
      </c>
      <c r="BD730" t="inlineStr">
        <is>
          <t>893325779</t>
        </is>
      </c>
    </row>
    <row r="731">
      <c r="A731" t="inlineStr">
        <is>
          <t>No</t>
        </is>
      </c>
      <c r="B731" t="inlineStr">
        <is>
          <t>BV4647.H8 W4613 1988</t>
        </is>
      </c>
      <c r="C731" t="inlineStr">
        <is>
          <t>0                      BV 4647000H  8                  W  4613        1988</t>
        </is>
      </c>
      <c r="D731" t="inlineStr">
        <is>
          <t>Humility : solidarity of the humiliated : the transformation of an attitude and its social relevance in Graeco-Roman, Old Testament-Jewish, and Early Christian tradition / Klaus Wengst ; [translated by John Bowden from the German].</t>
        </is>
      </c>
      <c r="F731" t="inlineStr">
        <is>
          <t>No</t>
        </is>
      </c>
      <c r="G731" t="inlineStr">
        <is>
          <t>1</t>
        </is>
      </c>
      <c r="H731" t="inlineStr">
        <is>
          <t>No</t>
        </is>
      </c>
      <c r="I731" t="inlineStr">
        <is>
          <t>No</t>
        </is>
      </c>
      <c r="J731" t="inlineStr">
        <is>
          <t>0</t>
        </is>
      </c>
      <c r="K731" t="inlineStr">
        <is>
          <t>Wengst, Klaus.</t>
        </is>
      </c>
      <c r="L731" t="inlineStr">
        <is>
          <t>Philadelphia : Fortress Press, 1988.</t>
        </is>
      </c>
      <c r="M731" t="inlineStr">
        <is>
          <t>1988</t>
        </is>
      </c>
      <c r="N731" t="inlineStr">
        <is>
          <t>1st Fortress Press ed.</t>
        </is>
      </c>
      <c r="O731" t="inlineStr">
        <is>
          <t>eng</t>
        </is>
      </c>
      <c r="P731" t="inlineStr">
        <is>
          <t>pau</t>
        </is>
      </c>
      <c r="R731" t="inlineStr">
        <is>
          <t xml:space="preserve">BV </t>
        </is>
      </c>
      <c r="S731" t="n">
        <v>9</v>
      </c>
      <c r="T731" t="n">
        <v>9</v>
      </c>
      <c r="U731" t="inlineStr">
        <is>
          <t>2004-10-13</t>
        </is>
      </c>
      <c r="V731" t="inlineStr">
        <is>
          <t>2004-10-13</t>
        </is>
      </c>
      <c r="W731" t="inlineStr">
        <is>
          <t>1990-02-16</t>
        </is>
      </c>
      <c r="X731" t="inlineStr">
        <is>
          <t>1990-02-16</t>
        </is>
      </c>
      <c r="Y731" t="n">
        <v>182</v>
      </c>
      <c r="Z731" t="n">
        <v>157</v>
      </c>
      <c r="AA731" t="n">
        <v>158</v>
      </c>
      <c r="AB731" t="n">
        <v>1</v>
      </c>
      <c r="AC731" t="n">
        <v>1</v>
      </c>
      <c r="AD731" t="n">
        <v>13</v>
      </c>
      <c r="AE731" t="n">
        <v>13</v>
      </c>
      <c r="AF731" t="n">
        <v>4</v>
      </c>
      <c r="AG731" t="n">
        <v>4</v>
      </c>
      <c r="AH731" t="n">
        <v>3</v>
      </c>
      <c r="AI731" t="n">
        <v>3</v>
      </c>
      <c r="AJ731" t="n">
        <v>8</v>
      </c>
      <c r="AK731" t="n">
        <v>8</v>
      </c>
      <c r="AL731" t="n">
        <v>0</v>
      </c>
      <c r="AM731" t="n">
        <v>0</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HYPERLINK("https://creighton-primo.hosted.exlibrisgroup.com/primo-explore/search?tab=default_tab&amp;search_scope=EVERYTHING&amp;vid=01CRU&amp;lang=en_US&amp;offset=0&amp;query=any,contains,991001292659702656","Catalog Record")</f>
        <v/>
      </c>
      <c r="AT731">
        <f>HYPERLINK("http://www.worldcat.org/oclc/18014438","WorldCat Record")</f>
        <v/>
      </c>
      <c r="AU731" t="inlineStr">
        <is>
          <t>325161213:eng</t>
        </is>
      </c>
      <c r="AV731" t="inlineStr">
        <is>
          <t>18014438</t>
        </is>
      </c>
      <c r="AW731" t="inlineStr">
        <is>
          <t>991001292659702656</t>
        </is>
      </c>
      <c r="AX731" t="inlineStr">
        <is>
          <t>991001292659702656</t>
        </is>
      </c>
      <c r="AY731" t="inlineStr">
        <is>
          <t>2271430590002656</t>
        </is>
      </c>
      <c r="AZ731" t="inlineStr">
        <is>
          <t>BOOK</t>
        </is>
      </c>
      <c r="BB731" t="inlineStr">
        <is>
          <t>9780800623203</t>
        </is>
      </c>
      <c r="BC731" t="inlineStr">
        <is>
          <t>32285000038835</t>
        </is>
      </c>
      <c r="BD731" t="inlineStr">
        <is>
          <t>893772492</t>
        </is>
      </c>
    </row>
    <row r="732">
      <c r="A732" t="inlineStr">
        <is>
          <t>No</t>
        </is>
      </c>
      <c r="B732" t="inlineStr">
        <is>
          <t>BV4647.J8 P53 1955</t>
        </is>
      </c>
      <c r="C732" t="inlineStr">
        <is>
          <t>0                      BV 4647000J  8                  P  53          1955</t>
        </is>
      </c>
      <c r="D732" t="inlineStr">
        <is>
          <t>Justice / Josef Pieper ; translated by Lawrence E. Lynch.</t>
        </is>
      </c>
      <c r="F732" t="inlineStr">
        <is>
          <t>No</t>
        </is>
      </c>
      <c r="G732" t="inlineStr">
        <is>
          <t>1</t>
        </is>
      </c>
      <c r="H732" t="inlineStr">
        <is>
          <t>No</t>
        </is>
      </c>
      <c r="I732" t="inlineStr">
        <is>
          <t>No</t>
        </is>
      </c>
      <c r="J732" t="inlineStr">
        <is>
          <t>0</t>
        </is>
      </c>
      <c r="K732" t="inlineStr">
        <is>
          <t>Pieper, Josef, 1904-1997.</t>
        </is>
      </c>
      <c r="L732" t="inlineStr">
        <is>
          <t>[New York] : Pantheon Books, [1955]</t>
        </is>
      </c>
      <c r="M732" t="inlineStr">
        <is>
          <t>1955</t>
        </is>
      </c>
      <c r="O732" t="inlineStr">
        <is>
          <t>eng</t>
        </is>
      </c>
      <c r="P732" t="inlineStr">
        <is>
          <t>nyu</t>
        </is>
      </c>
      <c r="R732" t="inlineStr">
        <is>
          <t xml:space="preserve">BV </t>
        </is>
      </c>
      <c r="S732" t="n">
        <v>4</v>
      </c>
      <c r="T732" t="n">
        <v>4</v>
      </c>
      <c r="U732" t="inlineStr">
        <is>
          <t>2005-02-22</t>
        </is>
      </c>
      <c r="V732" t="inlineStr">
        <is>
          <t>2005-02-22</t>
        </is>
      </c>
      <c r="W732" t="inlineStr">
        <is>
          <t>1992-03-04</t>
        </is>
      </c>
      <c r="X732" t="inlineStr">
        <is>
          <t>1992-03-04</t>
        </is>
      </c>
      <c r="Y732" t="n">
        <v>293</v>
      </c>
      <c r="Z732" t="n">
        <v>266</v>
      </c>
      <c r="AA732" t="n">
        <v>309</v>
      </c>
      <c r="AB732" t="n">
        <v>3</v>
      </c>
      <c r="AC732" t="n">
        <v>3</v>
      </c>
      <c r="AD732" t="n">
        <v>30</v>
      </c>
      <c r="AE732" t="n">
        <v>33</v>
      </c>
      <c r="AF732" t="n">
        <v>10</v>
      </c>
      <c r="AG732" t="n">
        <v>10</v>
      </c>
      <c r="AH732" t="n">
        <v>6</v>
      </c>
      <c r="AI732" t="n">
        <v>8</v>
      </c>
      <c r="AJ732" t="n">
        <v>20</v>
      </c>
      <c r="AK732" t="n">
        <v>22</v>
      </c>
      <c r="AL732" t="n">
        <v>1</v>
      </c>
      <c r="AM732" t="n">
        <v>1</v>
      </c>
      <c r="AN732" t="n">
        <v>2</v>
      </c>
      <c r="AO732" t="n">
        <v>2</v>
      </c>
      <c r="AP732" t="inlineStr">
        <is>
          <t>No</t>
        </is>
      </c>
      <c r="AQ732" t="inlineStr">
        <is>
          <t>No</t>
        </is>
      </c>
      <c r="AR732">
        <f>HYPERLINK("http://catalog.hathitrust.org/Record/007882782","HathiTrust Record")</f>
        <v/>
      </c>
      <c r="AS732">
        <f>HYPERLINK("https://creighton-primo.hosted.exlibrisgroup.com/primo-explore/search?tab=default_tab&amp;search_scope=EVERYTHING&amp;vid=01CRU&amp;lang=en_US&amp;offset=0&amp;query=any,contains,991003947519702656","Catalog Record")</f>
        <v/>
      </c>
      <c r="AT732">
        <f>HYPERLINK("http://www.worldcat.org/oclc/1948208","WorldCat Record")</f>
        <v/>
      </c>
      <c r="AU732" t="inlineStr">
        <is>
          <t>148078884:eng</t>
        </is>
      </c>
      <c r="AV732" t="inlineStr">
        <is>
          <t>1948208</t>
        </is>
      </c>
      <c r="AW732" t="inlineStr">
        <is>
          <t>991003947519702656</t>
        </is>
      </c>
      <c r="AX732" t="inlineStr">
        <is>
          <t>991003947519702656</t>
        </is>
      </c>
      <c r="AY732" t="inlineStr">
        <is>
          <t>2263558340002656</t>
        </is>
      </c>
      <c r="AZ732" t="inlineStr">
        <is>
          <t>BOOK</t>
        </is>
      </c>
      <c r="BC732" t="inlineStr">
        <is>
          <t>32285000968445</t>
        </is>
      </c>
      <c r="BD732" t="inlineStr">
        <is>
          <t>893611725</t>
        </is>
      </c>
    </row>
    <row r="733">
      <c r="A733" t="inlineStr">
        <is>
          <t>No</t>
        </is>
      </c>
      <c r="B733" t="inlineStr">
        <is>
          <t>BV4647.L56 S34 2000</t>
        </is>
      </c>
      <c r="C733" t="inlineStr">
        <is>
          <t>0                      BV 4647000L  56                 S  34          2000</t>
        </is>
      </c>
      <c r="D733" t="inlineStr">
        <is>
          <t>Hearing things : religion, illusion, and the American enlightenment / Leigh Eric Schmidt.</t>
        </is>
      </c>
      <c r="F733" t="inlineStr">
        <is>
          <t>No</t>
        </is>
      </c>
      <c r="G733" t="inlineStr">
        <is>
          <t>1</t>
        </is>
      </c>
      <c r="H733" t="inlineStr">
        <is>
          <t>No</t>
        </is>
      </c>
      <c r="I733" t="inlineStr">
        <is>
          <t>No</t>
        </is>
      </c>
      <c r="J733" t="inlineStr">
        <is>
          <t>0</t>
        </is>
      </c>
      <c r="K733" t="inlineStr">
        <is>
          <t>Schmidt, Leigh Eric.</t>
        </is>
      </c>
      <c r="L733" t="inlineStr">
        <is>
          <t>Cambridge, Mass. : Harvard University Press, 2000.</t>
        </is>
      </c>
      <c r="M733" t="inlineStr">
        <is>
          <t>2000</t>
        </is>
      </c>
      <c r="O733" t="inlineStr">
        <is>
          <t>eng</t>
        </is>
      </c>
      <c r="P733" t="inlineStr">
        <is>
          <t>mau</t>
        </is>
      </c>
      <c r="R733" t="inlineStr">
        <is>
          <t xml:space="preserve">BV </t>
        </is>
      </c>
      <c r="S733" t="n">
        <v>4</v>
      </c>
      <c r="T733" t="n">
        <v>4</v>
      </c>
      <c r="U733" t="inlineStr">
        <is>
          <t>2008-04-23</t>
        </is>
      </c>
      <c r="V733" t="inlineStr">
        <is>
          <t>2008-04-23</t>
        </is>
      </c>
      <c r="W733" t="inlineStr">
        <is>
          <t>2001-04-19</t>
        </is>
      </c>
      <c r="X733" t="inlineStr">
        <is>
          <t>2001-04-19</t>
        </is>
      </c>
      <c r="Y733" t="n">
        <v>458</v>
      </c>
      <c r="Z733" t="n">
        <v>391</v>
      </c>
      <c r="AA733" t="n">
        <v>402</v>
      </c>
      <c r="AB733" t="n">
        <v>6</v>
      </c>
      <c r="AC733" t="n">
        <v>6</v>
      </c>
      <c r="AD733" t="n">
        <v>24</v>
      </c>
      <c r="AE733" t="n">
        <v>25</v>
      </c>
      <c r="AF733" t="n">
        <v>6</v>
      </c>
      <c r="AG733" t="n">
        <v>7</v>
      </c>
      <c r="AH733" t="n">
        <v>5</v>
      </c>
      <c r="AI733" t="n">
        <v>5</v>
      </c>
      <c r="AJ733" t="n">
        <v>11</v>
      </c>
      <c r="AK733" t="n">
        <v>11</v>
      </c>
      <c r="AL733" t="n">
        <v>5</v>
      </c>
      <c r="AM733" t="n">
        <v>5</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HYPERLINK("https://creighton-primo.hosted.exlibrisgroup.com/primo-explore/search?tab=default_tab&amp;search_scope=EVERYTHING&amp;vid=01CRU&amp;lang=en_US&amp;offset=0&amp;query=any,contains,991003494789702656","Catalog Record")</f>
        <v/>
      </c>
      <c r="AT733">
        <f>HYPERLINK("http://www.worldcat.org/oclc/43913252","WorldCat Record")</f>
        <v/>
      </c>
      <c r="AU733" t="inlineStr">
        <is>
          <t>47956:eng</t>
        </is>
      </c>
      <c r="AV733" t="inlineStr">
        <is>
          <t>43913252</t>
        </is>
      </c>
      <c r="AW733" t="inlineStr">
        <is>
          <t>991003494789702656</t>
        </is>
      </c>
      <c r="AX733" t="inlineStr">
        <is>
          <t>991003494789702656</t>
        </is>
      </c>
      <c r="AY733" t="inlineStr">
        <is>
          <t>2263926000002656</t>
        </is>
      </c>
      <c r="AZ733" t="inlineStr">
        <is>
          <t>BOOK</t>
        </is>
      </c>
      <c r="BB733" t="inlineStr">
        <is>
          <t>9780674003033</t>
        </is>
      </c>
      <c r="BC733" t="inlineStr">
        <is>
          <t>32285004313614</t>
        </is>
      </c>
      <c r="BD733" t="inlineStr">
        <is>
          <t>893262767</t>
        </is>
      </c>
    </row>
    <row r="734">
      <c r="A734" t="inlineStr">
        <is>
          <t>No</t>
        </is>
      </c>
      <c r="B734" t="inlineStr">
        <is>
          <t>BV4647.M4 B4 1945</t>
        </is>
      </c>
      <c r="C734" t="inlineStr">
        <is>
          <t>0                      BV 4647000M  4                  B  4           1945</t>
        </is>
      </c>
      <c r="D734" t="inlineStr">
        <is>
          <t>The quality of mercy : thoughts on the works of mercy / [by] the Rt. Rev. Hugh F. Blunt.</t>
        </is>
      </c>
      <c r="F734" t="inlineStr">
        <is>
          <t>No</t>
        </is>
      </c>
      <c r="G734" t="inlineStr">
        <is>
          <t>1</t>
        </is>
      </c>
      <c r="H734" t="inlineStr">
        <is>
          <t>No</t>
        </is>
      </c>
      <c r="I734" t="inlineStr">
        <is>
          <t>No</t>
        </is>
      </c>
      <c r="J734" t="inlineStr">
        <is>
          <t>0</t>
        </is>
      </c>
      <c r="K734" t="inlineStr">
        <is>
          <t>Blunt, Hugh Francis, 1877-1957.</t>
        </is>
      </c>
      <c r="L734" t="inlineStr">
        <is>
          <t>Milwaukee : The Bruce publishing company, [1945]</t>
        </is>
      </c>
      <c r="M734" t="inlineStr">
        <is>
          <t>1945</t>
        </is>
      </c>
      <c r="O734" t="inlineStr">
        <is>
          <t>eng</t>
        </is>
      </c>
      <c r="P734" t="inlineStr">
        <is>
          <t>wiu</t>
        </is>
      </c>
      <c r="Q734" t="inlineStr">
        <is>
          <t>Religion and culture series; Joseph Husslein ... general editor</t>
        </is>
      </c>
      <c r="R734" t="inlineStr">
        <is>
          <t xml:space="preserve">BV </t>
        </is>
      </c>
      <c r="S734" t="n">
        <v>6</v>
      </c>
      <c r="T734" t="n">
        <v>6</v>
      </c>
      <c r="U734" t="inlineStr">
        <is>
          <t>2005-06-22</t>
        </is>
      </c>
      <c r="V734" t="inlineStr">
        <is>
          <t>2005-06-22</t>
        </is>
      </c>
      <c r="W734" t="inlineStr">
        <is>
          <t>1992-03-04</t>
        </is>
      </c>
      <c r="X734" t="inlineStr">
        <is>
          <t>1992-03-04</t>
        </is>
      </c>
      <c r="Y734" t="n">
        <v>101</v>
      </c>
      <c r="Z734" t="n">
        <v>93</v>
      </c>
      <c r="AA734" t="n">
        <v>93</v>
      </c>
      <c r="AB734" t="n">
        <v>2</v>
      </c>
      <c r="AC734" t="n">
        <v>2</v>
      </c>
      <c r="AD734" t="n">
        <v>13</v>
      </c>
      <c r="AE734" t="n">
        <v>13</v>
      </c>
      <c r="AF734" t="n">
        <v>3</v>
      </c>
      <c r="AG734" t="n">
        <v>3</v>
      </c>
      <c r="AH734" t="n">
        <v>3</v>
      </c>
      <c r="AI734" t="n">
        <v>3</v>
      </c>
      <c r="AJ734" t="n">
        <v>10</v>
      </c>
      <c r="AK734" t="n">
        <v>10</v>
      </c>
      <c r="AL734" t="n">
        <v>0</v>
      </c>
      <c r="AM734" t="n">
        <v>0</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HYPERLINK("https://creighton-primo.hosted.exlibrisgroup.com/primo-explore/search?tab=default_tab&amp;search_scope=EVERYTHING&amp;vid=01CRU&amp;lang=en_US&amp;offset=0&amp;query=any,contains,991003984339702656","Catalog Record")</f>
        <v/>
      </c>
      <c r="AT734">
        <f>HYPERLINK("http://www.worldcat.org/oclc/2024852","WorldCat Record")</f>
        <v/>
      </c>
      <c r="AU734" t="inlineStr">
        <is>
          <t>48823775:eng</t>
        </is>
      </c>
      <c r="AV734" t="inlineStr">
        <is>
          <t>2024852</t>
        </is>
      </c>
      <c r="AW734" t="inlineStr">
        <is>
          <t>991003984339702656</t>
        </is>
      </c>
      <c r="AX734" t="inlineStr">
        <is>
          <t>991003984339702656</t>
        </is>
      </c>
      <c r="AY734" t="inlineStr">
        <is>
          <t>2264689310002656</t>
        </is>
      </c>
      <c r="AZ734" t="inlineStr">
        <is>
          <t>BOOK</t>
        </is>
      </c>
      <c r="BC734" t="inlineStr">
        <is>
          <t>32285000968452</t>
        </is>
      </c>
      <c r="BD734" t="inlineStr">
        <is>
          <t>893240870</t>
        </is>
      </c>
    </row>
    <row r="735">
      <c r="A735" t="inlineStr">
        <is>
          <t>No</t>
        </is>
      </c>
      <c r="B735" t="inlineStr">
        <is>
          <t>BV4647.M4 W67 1992</t>
        </is>
      </c>
      <c r="C735" t="inlineStr">
        <is>
          <t>0                      BV 4647000M  4                  W  67          1992</t>
        </is>
      </c>
      <c r="D735" t="inlineStr">
        <is>
          <t>The Works of mercy : new perspectives on ministry / Francis A. Eigo, editor.</t>
        </is>
      </c>
      <c r="F735" t="inlineStr">
        <is>
          <t>No</t>
        </is>
      </c>
      <c r="G735" t="inlineStr">
        <is>
          <t>1</t>
        </is>
      </c>
      <c r="H735" t="inlineStr">
        <is>
          <t>No</t>
        </is>
      </c>
      <c r="I735" t="inlineStr">
        <is>
          <t>No</t>
        </is>
      </c>
      <c r="J735" t="inlineStr">
        <is>
          <t>0</t>
        </is>
      </c>
      <c r="L735" t="inlineStr">
        <is>
          <t>Villanova, Pa. : Villanova University Press, c1992.</t>
        </is>
      </c>
      <c r="M735" t="inlineStr">
        <is>
          <t>1992</t>
        </is>
      </c>
      <c r="O735" t="inlineStr">
        <is>
          <t>eng</t>
        </is>
      </c>
      <c r="P735" t="inlineStr">
        <is>
          <t>pau</t>
        </is>
      </c>
      <c r="Q735" t="inlineStr">
        <is>
          <t>Proceedings of the Theology of Villanova University ; v. 24</t>
        </is>
      </c>
      <c r="R735" t="inlineStr">
        <is>
          <t xml:space="preserve">BV </t>
        </is>
      </c>
      <c r="S735" t="n">
        <v>8</v>
      </c>
      <c r="T735" t="n">
        <v>8</v>
      </c>
      <c r="U735" t="inlineStr">
        <is>
          <t>2005-06-22</t>
        </is>
      </c>
      <c r="V735" t="inlineStr">
        <is>
          <t>2005-06-22</t>
        </is>
      </c>
      <c r="W735" t="inlineStr">
        <is>
          <t>1993-01-14</t>
        </is>
      </c>
      <c r="X735" t="inlineStr">
        <is>
          <t>1993-01-14</t>
        </is>
      </c>
      <c r="Y735" t="n">
        <v>73</v>
      </c>
      <c r="Z735" t="n">
        <v>70</v>
      </c>
      <c r="AA735" t="n">
        <v>71</v>
      </c>
      <c r="AB735" t="n">
        <v>1</v>
      </c>
      <c r="AC735" t="n">
        <v>1</v>
      </c>
      <c r="AD735" t="n">
        <v>8</v>
      </c>
      <c r="AE735" t="n">
        <v>8</v>
      </c>
      <c r="AF735" t="n">
        <v>3</v>
      </c>
      <c r="AG735" t="n">
        <v>3</v>
      </c>
      <c r="AH735" t="n">
        <v>4</v>
      </c>
      <c r="AI735" t="n">
        <v>4</v>
      </c>
      <c r="AJ735" t="n">
        <v>4</v>
      </c>
      <c r="AK735" t="n">
        <v>4</v>
      </c>
      <c r="AL735" t="n">
        <v>0</v>
      </c>
      <c r="AM735" t="n">
        <v>0</v>
      </c>
      <c r="AN735" t="n">
        <v>0</v>
      </c>
      <c r="AO735" t="n">
        <v>0</v>
      </c>
      <c r="AP735" t="inlineStr">
        <is>
          <t>No</t>
        </is>
      </c>
      <c r="AQ735" t="inlineStr">
        <is>
          <t>Yes</t>
        </is>
      </c>
      <c r="AR735">
        <f>HYPERLINK("http://catalog.hathitrust.org/Record/102377413","HathiTrust Record")</f>
        <v/>
      </c>
      <c r="AS735">
        <f>HYPERLINK("https://creighton-primo.hosted.exlibrisgroup.com/primo-explore/search?tab=default_tab&amp;search_scope=EVERYTHING&amp;vid=01CRU&amp;lang=en_US&amp;offset=0&amp;query=any,contains,991001974749702656","Catalog Record")</f>
        <v/>
      </c>
      <c r="AT735">
        <f>HYPERLINK("http://www.worldcat.org/oclc/25047897","WorldCat Record")</f>
        <v/>
      </c>
      <c r="AU735" t="inlineStr">
        <is>
          <t>43992424:eng</t>
        </is>
      </c>
      <c r="AV735" t="inlineStr">
        <is>
          <t>25047897</t>
        </is>
      </c>
      <c r="AW735" t="inlineStr">
        <is>
          <t>991001974749702656</t>
        </is>
      </c>
      <c r="AX735" t="inlineStr">
        <is>
          <t>991001974749702656</t>
        </is>
      </c>
      <c r="AY735" t="inlineStr">
        <is>
          <t>2260697220002656</t>
        </is>
      </c>
      <c r="AZ735" t="inlineStr">
        <is>
          <t>BOOK</t>
        </is>
      </c>
      <c r="BB735" t="inlineStr">
        <is>
          <t>9780877230830</t>
        </is>
      </c>
      <c r="BC735" t="inlineStr">
        <is>
          <t>32285001485340</t>
        </is>
      </c>
      <c r="BD735" t="inlineStr">
        <is>
          <t>893903642</t>
        </is>
      </c>
    </row>
    <row r="736">
      <c r="A736" t="inlineStr">
        <is>
          <t>No</t>
        </is>
      </c>
      <c r="B736" t="inlineStr">
        <is>
          <t>BV4647.P5 T35 2001</t>
        </is>
      </c>
      <c r="C736" t="inlineStr">
        <is>
          <t>0                      BV 4647000P  5                  T  35          2001</t>
        </is>
      </c>
      <c r="D736" t="inlineStr">
        <is>
          <t>The piety of John Witherspoon : pew, pulpit, and public forum / L. Gordon Tait.</t>
        </is>
      </c>
      <c r="F736" t="inlineStr">
        <is>
          <t>No</t>
        </is>
      </c>
      <c r="G736" t="inlineStr">
        <is>
          <t>1</t>
        </is>
      </c>
      <c r="H736" t="inlineStr">
        <is>
          <t>No</t>
        </is>
      </c>
      <c r="I736" t="inlineStr">
        <is>
          <t>No</t>
        </is>
      </c>
      <c r="J736" t="inlineStr">
        <is>
          <t>0</t>
        </is>
      </c>
      <c r="K736" t="inlineStr">
        <is>
          <t>Tait, L. Gordon.</t>
        </is>
      </c>
      <c r="L736" t="inlineStr">
        <is>
          <t>Louisville, Ky. : Geneva Press, c2001.</t>
        </is>
      </c>
      <c r="M736" t="inlineStr">
        <is>
          <t>2001</t>
        </is>
      </c>
      <c r="N736" t="inlineStr">
        <is>
          <t>1st ed.</t>
        </is>
      </c>
      <c r="O736" t="inlineStr">
        <is>
          <t>eng</t>
        </is>
      </c>
      <c r="P736" t="inlineStr">
        <is>
          <t>kyu</t>
        </is>
      </c>
      <c r="R736" t="inlineStr">
        <is>
          <t xml:space="preserve">BV </t>
        </is>
      </c>
      <c r="S736" t="n">
        <v>1</v>
      </c>
      <c r="T736" t="n">
        <v>1</v>
      </c>
      <c r="U736" t="inlineStr">
        <is>
          <t>2001-03-27</t>
        </is>
      </c>
      <c r="V736" t="inlineStr">
        <is>
          <t>2001-03-27</t>
        </is>
      </c>
      <c r="W736" t="inlineStr">
        <is>
          <t>2001-03-27</t>
        </is>
      </c>
      <c r="X736" t="inlineStr">
        <is>
          <t>2001-03-27</t>
        </is>
      </c>
      <c r="Y736" t="n">
        <v>222</v>
      </c>
      <c r="Z736" t="n">
        <v>202</v>
      </c>
      <c r="AA736" t="n">
        <v>202</v>
      </c>
      <c r="AB736" t="n">
        <v>3</v>
      </c>
      <c r="AC736" t="n">
        <v>3</v>
      </c>
      <c r="AD736" t="n">
        <v>8</v>
      </c>
      <c r="AE736" t="n">
        <v>8</v>
      </c>
      <c r="AF736" t="n">
        <v>2</v>
      </c>
      <c r="AG736" t="n">
        <v>2</v>
      </c>
      <c r="AH736" t="n">
        <v>2</v>
      </c>
      <c r="AI736" t="n">
        <v>2</v>
      </c>
      <c r="AJ736" t="n">
        <v>3</v>
      </c>
      <c r="AK736" t="n">
        <v>3</v>
      </c>
      <c r="AL736" t="n">
        <v>2</v>
      </c>
      <c r="AM736" t="n">
        <v>2</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HYPERLINK("https://creighton-primo.hosted.exlibrisgroup.com/primo-explore/search?tab=default_tab&amp;search_scope=EVERYTHING&amp;vid=01CRU&amp;lang=en_US&amp;offset=0&amp;query=any,contains,991003518419702656","Catalog Record")</f>
        <v/>
      </c>
      <c r="AT736">
        <f>HYPERLINK("http://www.worldcat.org/oclc/43919811","WorldCat Record")</f>
        <v/>
      </c>
      <c r="AU736" t="inlineStr">
        <is>
          <t>47815:eng</t>
        </is>
      </c>
      <c r="AV736" t="inlineStr">
        <is>
          <t>43919811</t>
        </is>
      </c>
      <c r="AW736" t="inlineStr">
        <is>
          <t>991003518419702656</t>
        </is>
      </c>
      <c r="AX736" t="inlineStr">
        <is>
          <t>991003518419702656</t>
        </is>
      </c>
      <c r="AY736" t="inlineStr">
        <is>
          <t>2268282730002656</t>
        </is>
      </c>
      <c r="AZ736" t="inlineStr">
        <is>
          <t>BOOK</t>
        </is>
      </c>
      <c r="BB736" t="inlineStr">
        <is>
          <t>9780664501334</t>
        </is>
      </c>
      <c r="BC736" t="inlineStr">
        <is>
          <t>32285004307699</t>
        </is>
      </c>
      <c r="BD736" t="inlineStr">
        <is>
          <t>893805860</t>
        </is>
      </c>
    </row>
    <row r="737">
      <c r="A737" t="inlineStr">
        <is>
          <t>No</t>
        </is>
      </c>
      <c r="B737" t="inlineStr">
        <is>
          <t>BV4647.P6 D86 1982</t>
        </is>
      </c>
      <c r="C737" t="inlineStr">
        <is>
          <t>0                      BV 4647000P  6                  D  86          1982</t>
        </is>
      </c>
      <c r="D737" t="inlineStr">
        <is>
          <t>The Church of the Poor Devil / John S. Dunne.</t>
        </is>
      </c>
      <c r="F737" t="inlineStr">
        <is>
          <t>No</t>
        </is>
      </c>
      <c r="G737" t="inlineStr">
        <is>
          <t>1</t>
        </is>
      </c>
      <c r="H737" t="inlineStr">
        <is>
          <t>No</t>
        </is>
      </c>
      <c r="I737" t="inlineStr">
        <is>
          <t>No</t>
        </is>
      </c>
      <c r="J737" t="inlineStr">
        <is>
          <t>0</t>
        </is>
      </c>
      <c r="K737" t="inlineStr">
        <is>
          <t>Dunne, John S., 1929-2013.</t>
        </is>
      </c>
      <c r="L737" t="inlineStr">
        <is>
          <t>New York : Macmillan ; London : Collier Macmillan, c1982.</t>
        </is>
      </c>
      <c r="M737" t="inlineStr">
        <is>
          <t>1982</t>
        </is>
      </c>
      <c r="O737" t="inlineStr">
        <is>
          <t>eng</t>
        </is>
      </c>
      <c r="P737" t="inlineStr">
        <is>
          <t>nyu</t>
        </is>
      </c>
      <c r="R737" t="inlineStr">
        <is>
          <t xml:space="preserve">BV </t>
        </is>
      </c>
      <c r="S737" t="n">
        <v>7</v>
      </c>
      <c r="T737" t="n">
        <v>7</v>
      </c>
      <c r="U737" t="inlineStr">
        <is>
          <t>1995-10-12</t>
        </is>
      </c>
      <c r="V737" t="inlineStr">
        <is>
          <t>1995-10-12</t>
        </is>
      </c>
      <c r="W737" t="inlineStr">
        <is>
          <t>1992-02-06</t>
        </is>
      </c>
      <c r="X737" t="inlineStr">
        <is>
          <t>1992-02-06</t>
        </is>
      </c>
      <c r="Y737" t="n">
        <v>194</v>
      </c>
      <c r="Z737" t="n">
        <v>181</v>
      </c>
      <c r="AA737" t="n">
        <v>285</v>
      </c>
      <c r="AB737" t="n">
        <v>1</v>
      </c>
      <c r="AC737" t="n">
        <v>1</v>
      </c>
      <c r="AD737" t="n">
        <v>16</v>
      </c>
      <c r="AE737" t="n">
        <v>28</v>
      </c>
      <c r="AF737" t="n">
        <v>6</v>
      </c>
      <c r="AG737" t="n">
        <v>12</v>
      </c>
      <c r="AH737" t="n">
        <v>5</v>
      </c>
      <c r="AI737" t="n">
        <v>6</v>
      </c>
      <c r="AJ737" t="n">
        <v>12</v>
      </c>
      <c r="AK737" t="n">
        <v>21</v>
      </c>
      <c r="AL737" t="n">
        <v>0</v>
      </c>
      <c r="AM737" t="n">
        <v>0</v>
      </c>
      <c r="AN737" t="n">
        <v>0</v>
      </c>
      <c r="AO737" t="n">
        <v>0</v>
      </c>
      <c r="AP737" t="inlineStr">
        <is>
          <t>No</t>
        </is>
      </c>
      <c r="AQ737" t="inlineStr">
        <is>
          <t>Yes</t>
        </is>
      </c>
      <c r="AR737">
        <f>HYPERLINK("http://catalog.hathitrust.org/Record/000313894","HathiTrust Record")</f>
        <v/>
      </c>
      <c r="AS737">
        <f>HYPERLINK("https://creighton-primo.hosted.exlibrisgroup.com/primo-explore/search?tab=default_tab&amp;search_scope=EVERYTHING&amp;vid=01CRU&amp;lang=en_US&amp;offset=0&amp;query=any,contains,991000015599702656","Catalog Record")</f>
        <v/>
      </c>
      <c r="AT737">
        <f>HYPERLINK("http://www.worldcat.org/oclc/8552741","WorldCat Record")</f>
        <v/>
      </c>
      <c r="AU737" t="inlineStr">
        <is>
          <t>399079:eng</t>
        </is>
      </c>
      <c r="AV737" t="inlineStr">
        <is>
          <t>8552741</t>
        </is>
      </c>
      <c r="AW737" t="inlineStr">
        <is>
          <t>991000015599702656</t>
        </is>
      </c>
      <c r="AX737" t="inlineStr">
        <is>
          <t>991000015599702656</t>
        </is>
      </c>
      <c r="AY737" t="inlineStr">
        <is>
          <t>2257575150002656</t>
        </is>
      </c>
      <c r="AZ737" t="inlineStr">
        <is>
          <t>BOOK</t>
        </is>
      </c>
      <c r="BB737" t="inlineStr">
        <is>
          <t>9780025339606</t>
        </is>
      </c>
      <c r="BC737" t="inlineStr">
        <is>
          <t>32285000943273</t>
        </is>
      </c>
      <c r="BD737" t="inlineStr">
        <is>
          <t>893595181</t>
        </is>
      </c>
    </row>
    <row r="738">
      <c r="A738" t="inlineStr">
        <is>
          <t>No</t>
        </is>
      </c>
      <c r="B738" t="inlineStr">
        <is>
          <t>BV4647.S48 G46 1984</t>
        </is>
      </c>
      <c r="C738" t="inlineStr">
        <is>
          <t>0                      BV 4647000S  48                 G  46          1984</t>
        </is>
      </c>
      <c r="D738" t="inlineStr">
        <is>
          <t>The Christian as a consumer / by Denise George.</t>
        </is>
      </c>
      <c r="F738" t="inlineStr">
        <is>
          <t>No</t>
        </is>
      </c>
      <c r="G738" t="inlineStr">
        <is>
          <t>1</t>
        </is>
      </c>
      <c r="H738" t="inlineStr">
        <is>
          <t>No</t>
        </is>
      </c>
      <c r="I738" t="inlineStr">
        <is>
          <t>No</t>
        </is>
      </c>
      <c r="J738" t="inlineStr">
        <is>
          <t>0</t>
        </is>
      </c>
      <c r="K738" t="inlineStr">
        <is>
          <t>George, Denise.</t>
        </is>
      </c>
      <c r="L738" t="inlineStr">
        <is>
          <t>Philadelphia : Westminister Press, c1984.</t>
        </is>
      </c>
      <c r="M738" t="inlineStr">
        <is>
          <t>1984</t>
        </is>
      </c>
      <c r="N738" t="inlineStr">
        <is>
          <t>1st ed.</t>
        </is>
      </c>
      <c r="O738" t="inlineStr">
        <is>
          <t>eng</t>
        </is>
      </c>
      <c r="P738" t="inlineStr">
        <is>
          <t>pau</t>
        </is>
      </c>
      <c r="Q738" t="inlineStr">
        <is>
          <t>Potentials</t>
        </is>
      </c>
      <c r="R738" t="inlineStr">
        <is>
          <t xml:space="preserve">BV </t>
        </is>
      </c>
      <c r="S738" t="n">
        <v>5</v>
      </c>
      <c r="T738" t="n">
        <v>5</v>
      </c>
      <c r="U738" t="inlineStr">
        <is>
          <t>2003-06-17</t>
        </is>
      </c>
      <c r="V738" t="inlineStr">
        <is>
          <t>2003-06-17</t>
        </is>
      </c>
      <c r="W738" t="inlineStr">
        <is>
          <t>1992-03-04</t>
        </is>
      </c>
      <c r="X738" t="inlineStr">
        <is>
          <t>1992-03-04</t>
        </is>
      </c>
      <c r="Y738" t="n">
        <v>157</v>
      </c>
      <c r="Z738" t="n">
        <v>140</v>
      </c>
      <c r="AA738" t="n">
        <v>140</v>
      </c>
      <c r="AB738" t="n">
        <v>1</v>
      </c>
      <c r="AC738" t="n">
        <v>1</v>
      </c>
      <c r="AD738" t="n">
        <v>2</v>
      </c>
      <c r="AE738" t="n">
        <v>2</v>
      </c>
      <c r="AF738" t="n">
        <v>1</v>
      </c>
      <c r="AG738" t="n">
        <v>1</v>
      </c>
      <c r="AH738" t="n">
        <v>1</v>
      </c>
      <c r="AI738" t="n">
        <v>1</v>
      </c>
      <c r="AJ738" t="n">
        <v>0</v>
      </c>
      <c r="AK738" t="n">
        <v>0</v>
      </c>
      <c r="AL738" t="n">
        <v>0</v>
      </c>
      <c r="AM738" t="n">
        <v>0</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HYPERLINK("https://creighton-primo.hosted.exlibrisgroup.com/primo-explore/search?tab=default_tab&amp;search_scope=EVERYTHING&amp;vid=01CRU&amp;lang=en_US&amp;offset=0&amp;query=any,contains,991000344739702656","Catalog Record")</f>
        <v/>
      </c>
      <c r="AT738">
        <f>HYPERLINK("http://www.worldcat.org/oclc/10277408","WorldCat Record")</f>
        <v/>
      </c>
      <c r="AU738" t="inlineStr">
        <is>
          <t>3464240:eng</t>
        </is>
      </c>
      <c r="AV738" t="inlineStr">
        <is>
          <t>10277408</t>
        </is>
      </c>
      <c r="AW738" t="inlineStr">
        <is>
          <t>991000344739702656</t>
        </is>
      </c>
      <c r="AX738" t="inlineStr">
        <is>
          <t>991000344739702656</t>
        </is>
      </c>
      <c r="AY738" t="inlineStr">
        <is>
          <t>2269092860002656</t>
        </is>
      </c>
      <c r="AZ738" t="inlineStr">
        <is>
          <t>BOOK</t>
        </is>
      </c>
      <c r="BB738" t="inlineStr">
        <is>
          <t>9780664245184</t>
        </is>
      </c>
      <c r="BC738" t="inlineStr">
        <is>
          <t>32285000968544</t>
        </is>
      </c>
      <c r="BD738" t="inlineStr">
        <is>
          <t>893771554</t>
        </is>
      </c>
    </row>
    <row r="739">
      <c r="A739" t="inlineStr">
        <is>
          <t>No</t>
        </is>
      </c>
      <c r="B739" t="inlineStr">
        <is>
          <t>BV4647.S48 H63 1998</t>
        </is>
      </c>
      <c r="C739" t="inlineStr">
        <is>
          <t>0                      BV 4647000S  48                 H  63          1998</t>
        </is>
      </c>
      <c r="D739" t="inlineStr">
        <is>
          <t>Simple living : the path to joy and freedom / José Hobday.</t>
        </is>
      </c>
      <c r="F739" t="inlineStr">
        <is>
          <t>No</t>
        </is>
      </c>
      <c r="G739" t="inlineStr">
        <is>
          <t>1</t>
        </is>
      </c>
      <c r="H739" t="inlineStr">
        <is>
          <t>No</t>
        </is>
      </c>
      <c r="I739" t="inlineStr">
        <is>
          <t>No</t>
        </is>
      </c>
      <c r="J739" t="inlineStr">
        <is>
          <t>0</t>
        </is>
      </c>
      <c r="K739" t="inlineStr">
        <is>
          <t>Hobday, José.</t>
        </is>
      </c>
      <c r="L739" t="inlineStr">
        <is>
          <t>New York : Continuum, 1998.</t>
        </is>
      </c>
      <c r="M739" t="inlineStr">
        <is>
          <t>1998</t>
        </is>
      </c>
      <c r="O739" t="inlineStr">
        <is>
          <t>eng</t>
        </is>
      </c>
      <c r="P739" t="inlineStr">
        <is>
          <t>nyu</t>
        </is>
      </c>
      <c r="R739" t="inlineStr">
        <is>
          <t xml:space="preserve">BV </t>
        </is>
      </c>
      <c r="S739" t="n">
        <v>2</v>
      </c>
      <c r="T739" t="n">
        <v>2</v>
      </c>
      <c r="U739" t="inlineStr">
        <is>
          <t>2003-06-17</t>
        </is>
      </c>
      <c r="V739" t="inlineStr">
        <is>
          <t>2003-06-17</t>
        </is>
      </c>
      <c r="W739" t="inlineStr">
        <is>
          <t>1999-03-16</t>
        </is>
      </c>
      <c r="X739" t="inlineStr">
        <is>
          <t>1999-03-16</t>
        </is>
      </c>
      <c r="Y739" t="n">
        <v>106</v>
      </c>
      <c r="Z739" t="n">
        <v>101</v>
      </c>
      <c r="AA739" t="n">
        <v>101</v>
      </c>
      <c r="AB739" t="n">
        <v>2</v>
      </c>
      <c r="AC739" t="n">
        <v>2</v>
      </c>
      <c r="AD739" t="n">
        <v>4</v>
      </c>
      <c r="AE739" t="n">
        <v>4</v>
      </c>
      <c r="AF739" t="n">
        <v>1</v>
      </c>
      <c r="AG739" t="n">
        <v>1</v>
      </c>
      <c r="AH739" t="n">
        <v>1</v>
      </c>
      <c r="AI739" t="n">
        <v>1</v>
      </c>
      <c r="AJ739" t="n">
        <v>3</v>
      </c>
      <c r="AK739" t="n">
        <v>3</v>
      </c>
      <c r="AL739" t="n">
        <v>0</v>
      </c>
      <c r="AM739" t="n">
        <v>0</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HYPERLINK("https://creighton-primo.hosted.exlibrisgroup.com/primo-explore/search?tab=default_tab&amp;search_scope=EVERYTHING&amp;vid=01CRU&amp;lang=en_US&amp;offset=0&amp;query=any,contains,991002958089702656","Catalog Record")</f>
        <v/>
      </c>
      <c r="AT739">
        <f>HYPERLINK("http://www.worldcat.org/oclc/39515955","WorldCat Record")</f>
        <v/>
      </c>
      <c r="AU739" t="inlineStr">
        <is>
          <t>41801921:eng</t>
        </is>
      </c>
      <c r="AV739" t="inlineStr">
        <is>
          <t>39515955</t>
        </is>
      </c>
      <c r="AW739" t="inlineStr">
        <is>
          <t>991002958089702656</t>
        </is>
      </c>
      <c r="AX739" t="inlineStr">
        <is>
          <t>991002958089702656</t>
        </is>
      </c>
      <c r="AY739" t="inlineStr">
        <is>
          <t>2260423680002656</t>
        </is>
      </c>
      <c r="AZ739" t="inlineStr">
        <is>
          <t>BOOK</t>
        </is>
      </c>
      <c r="BB739" t="inlineStr">
        <is>
          <t>9780826408464</t>
        </is>
      </c>
      <c r="BC739" t="inlineStr">
        <is>
          <t>32285003533451</t>
        </is>
      </c>
      <c r="BD739" t="inlineStr">
        <is>
          <t>893409757</t>
        </is>
      </c>
    </row>
    <row r="740">
      <c r="A740" t="inlineStr">
        <is>
          <t>No</t>
        </is>
      </c>
      <c r="B740" t="inlineStr">
        <is>
          <t>BV4647.S48 M36 1998</t>
        </is>
      </c>
      <c r="C740" t="inlineStr">
        <is>
          <t>0                      BV 4647000S  48                 M  36          1998</t>
        </is>
      </c>
      <c r="D740" t="inlineStr">
        <is>
          <t>When true simplicity is gained : finding spiritual clarity in a complex world / by Martin Marty and Micah Marty.</t>
        </is>
      </c>
      <c r="F740" t="inlineStr">
        <is>
          <t>No</t>
        </is>
      </c>
      <c r="G740" t="inlineStr">
        <is>
          <t>1</t>
        </is>
      </c>
      <c r="H740" t="inlineStr">
        <is>
          <t>No</t>
        </is>
      </c>
      <c r="I740" t="inlineStr">
        <is>
          <t>No</t>
        </is>
      </c>
      <c r="J740" t="inlineStr">
        <is>
          <t>0</t>
        </is>
      </c>
      <c r="K740" t="inlineStr">
        <is>
          <t>Marty, Martin E., 1928-</t>
        </is>
      </c>
      <c r="L740" t="inlineStr">
        <is>
          <t>Grand Rapids, Mich. : W.B. Eerdmans Pub.Co., c1998.</t>
        </is>
      </c>
      <c r="M740" t="inlineStr">
        <is>
          <t>1998</t>
        </is>
      </c>
      <c r="O740" t="inlineStr">
        <is>
          <t>eng</t>
        </is>
      </c>
      <c r="P740" t="inlineStr">
        <is>
          <t>miu</t>
        </is>
      </c>
      <c r="R740" t="inlineStr">
        <is>
          <t xml:space="preserve">BV </t>
        </is>
      </c>
      <c r="S740" t="n">
        <v>1</v>
      </c>
      <c r="T740" t="n">
        <v>1</v>
      </c>
      <c r="U740" t="inlineStr">
        <is>
          <t>2006-01-17</t>
        </is>
      </c>
      <c r="V740" t="inlineStr">
        <is>
          <t>2006-01-17</t>
        </is>
      </c>
      <c r="W740" t="inlineStr">
        <is>
          <t>2006-01-17</t>
        </is>
      </c>
      <c r="X740" t="inlineStr">
        <is>
          <t>2006-01-17</t>
        </is>
      </c>
      <c r="Y740" t="n">
        <v>238</v>
      </c>
      <c r="Z740" t="n">
        <v>215</v>
      </c>
      <c r="AA740" t="n">
        <v>215</v>
      </c>
      <c r="AB740" t="n">
        <v>4</v>
      </c>
      <c r="AC740" t="n">
        <v>4</v>
      </c>
      <c r="AD740" t="n">
        <v>9</v>
      </c>
      <c r="AE740" t="n">
        <v>9</v>
      </c>
      <c r="AF740" t="n">
        <v>4</v>
      </c>
      <c r="AG740" t="n">
        <v>4</v>
      </c>
      <c r="AH740" t="n">
        <v>3</v>
      </c>
      <c r="AI740" t="n">
        <v>3</v>
      </c>
      <c r="AJ740" t="n">
        <v>3</v>
      </c>
      <c r="AK740" t="n">
        <v>3</v>
      </c>
      <c r="AL740" t="n">
        <v>1</v>
      </c>
      <c r="AM740" t="n">
        <v>1</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HYPERLINK("https://creighton-primo.hosted.exlibrisgroup.com/primo-explore/search?tab=default_tab&amp;search_scope=EVERYTHING&amp;vid=01CRU&amp;lang=en_US&amp;offset=0&amp;query=any,contains,991004712559702656","Catalog Record")</f>
        <v/>
      </c>
      <c r="AT740">
        <f>HYPERLINK("http://www.worldcat.org/oclc/38879381","WorldCat Record")</f>
        <v/>
      </c>
      <c r="AU740" t="inlineStr">
        <is>
          <t>42167838:eng</t>
        </is>
      </c>
      <c r="AV740" t="inlineStr">
        <is>
          <t>38879381</t>
        </is>
      </c>
      <c r="AW740" t="inlineStr">
        <is>
          <t>991004712559702656</t>
        </is>
      </c>
      <c r="AX740" t="inlineStr">
        <is>
          <t>991004712559702656</t>
        </is>
      </c>
      <c r="AY740" t="inlineStr">
        <is>
          <t>2255640870002656</t>
        </is>
      </c>
      <c r="AZ740" t="inlineStr">
        <is>
          <t>BOOK</t>
        </is>
      </c>
      <c r="BB740" t="inlineStr">
        <is>
          <t>9780802842374</t>
        </is>
      </c>
      <c r="BC740" t="inlineStr">
        <is>
          <t>32285005155196</t>
        </is>
      </c>
      <c r="BD740" t="inlineStr">
        <is>
          <t>893776348</t>
        </is>
      </c>
    </row>
    <row r="741">
      <c r="A741" t="inlineStr">
        <is>
          <t>No</t>
        </is>
      </c>
      <c r="B741" t="inlineStr">
        <is>
          <t>BV4655 .B3 1920</t>
        </is>
      </c>
      <c r="C741" t="inlineStr">
        <is>
          <t>0                      BV 4655000B  3           1920</t>
        </is>
      </c>
      <c r="D741" t="inlineStr">
        <is>
          <t>The commandments explained according to the Munich or psychological method, for children of the intermediate and higher grades : based on the Baltimore Catechism (no. 2) an aid to catechists / by Rev. Joseph J. Baierl.</t>
        </is>
      </c>
      <c r="F741" t="inlineStr">
        <is>
          <t>No</t>
        </is>
      </c>
      <c r="G741" t="inlineStr">
        <is>
          <t>1</t>
        </is>
      </c>
      <c r="H741" t="inlineStr">
        <is>
          <t>No</t>
        </is>
      </c>
      <c r="I741" t="inlineStr">
        <is>
          <t>No</t>
        </is>
      </c>
      <c r="J741" t="inlineStr">
        <is>
          <t>0</t>
        </is>
      </c>
      <c r="K741" t="inlineStr">
        <is>
          <t>Baierl, Joseph J. (Joseph John), 1884-1955.</t>
        </is>
      </c>
      <c r="L741" t="inlineStr">
        <is>
          <t>Rochester, N. Y. : The Seminary press, 1920.</t>
        </is>
      </c>
      <c r="M741" t="inlineStr">
        <is>
          <t>1920</t>
        </is>
      </c>
      <c r="O741" t="inlineStr">
        <is>
          <t>eng</t>
        </is>
      </c>
      <c r="P741" t="inlineStr">
        <is>
          <t>nyu</t>
        </is>
      </c>
      <c r="R741" t="inlineStr">
        <is>
          <t xml:space="preserve">BV </t>
        </is>
      </c>
      <c r="S741" t="n">
        <v>2</v>
      </c>
      <c r="T741" t="n">
        <v>2</v>
      </c>
      <c r="U741" t="inlineStr">
        <is>
          <t>2009-12-02</t>
        </is>
      </c>
      <c r="V741" t="inlineStr">
        <is>
          <t>2009-12-02</t>
        </is>
      </c>
      <c r="W741" t="inlineStr">
        <is>
          <t>1992-03-04</t>
        </is>
      </c>
      <c r="X741" t="inlineStr">
        <is>
          <t>1992-03-04</t>
        </is>
      </c>
      <c r="Y741" t="n">
        <v>30</v>
      </c>
      <c r="Z741" t="n">
        <v>30</v>
      </c>
      <c r="AA741" t="n">
        <v>44</v>
      </c>
      <c r="AB741" t="n">
        <v>1</v>
      </c>
      <c r="AC741" t="n">
        <v>1</v>
      </c>
      <c r="AD741" t="n">
        <v>6</v>
      </c>
      <c r="AE741" t="n">
        <v>9</v>
      </c>
      <c r="AF741" t="n">
        <v>0</v>
      </c>
      <c r="AG741" t="n">
        <v>0</v>
      </c>
      <c r="AH741" t="n">
        <v>3</v>
      </c>
      <c r="AI741" t="n">
        <v>4</v>
      </c>
      <c r="AJ741" t="n">
        <v>4</v>
      </c>
      <c r="AK741" t="n">
        <v>6</v>
      </c>
      <c r="AL741" t="n">
        <v>0</v>
      </c>
      <c r="AM741" t="n">
        <v>0</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HYPERLINK("https://creighton-primo.hosted.exlibrisgroup.com/primo-explore/search?tab=default_tab&amp;search_scope=EVERYTHING&amp;vid=01CRU&amp;lang=en_US&amp;offset=0&amp;query=any,contains,991005005179702656","Catalog Record")</f>
        <v/>
      </c>
      <c r="AT741">
        <f>HYPERLINK("http://www.worldcat.org/oclc/6561120","WorldCat Record")</f>
        <v/>
      </c>
      <c r="AU741" t="inlineStr">
        <is>
          <t>22826323:eng</t>
        </is>
      </c>
      <c r="AV741" t="inlineStr">
        <is>
          <t>6561120</t>
        </is>
      </c>
      <c r="AW741" t="inlineStr">
        <is>
          <t>991005005179702656</t>
        </is>
      </c>
      <c r="AX741" t="inlineStr">
        <is>
          <t>991005005179702656</t>
        </is>
      </c>
      <c r="AY741" t="inlineStr">
        <is>
          <t>2269274510002656</t>
        </is>
      </c>
      <c r="AZ741" t="inlineStr">
        <is>
          <t>BOOK</t>
        </is>
      </c>
      <c r="BC741" t="inlineStr">
        <is>
          <t>32285000968551</t>
        </is>
      </c>
      <c r="BD741" t="inlineStr">
        <is>
          <t>893694617</t>
        </is>
      </c>
    </row>
    <row r="742">
      <c r="A742" t="inlineStr">
        <is>
          <t>No</t>
        </is>
      </c>
      <c r="B742" t="inlineStr">
        <is>
          <t>BV4655 .B65 1971</t>
        </is>
      </c>
      <c r="C742" t="inlineStr">
        <is>
          <t>0                      BV 4655000B  65          1971</t>
        </is>
      </c>
      <c r="D742" t="inlineStr">
        <is>
          <t>Décalogue et morale chrétienne / Guy Bourgeault. Enquête patristique sur l'utilisation et l'interprétation chrétiennes du décalogue de c. 60 à c. 220.</t>
        </is>
      </c>
      <c r="F742" t="inlineStr">
        <is>
          <t>No</t>
        </is>
      </c>
      <c r="G742" t="inlineStr">
        <is>
          <t>1</t>
        </is>
      </c>
      <c r="H742" t="inlineStr">
        <is>
          <t>No</t>
        </is>
      </c>
      <c r="I742" t="inlineStr">
        <is>
          <t>No</t>
        </is>
      </c>
      <c r="J742" t="inlineStr">
        <is>
          <t>0</t>
        </is>
      </c>
      <c r="K742" t="inlineStr">
        <is>
          <t>Bourgeault, Guy.</t>
        </is>
      </c>
      <c r="L742" t="inlineStr">
        <is>
          <t>Paris : Desclée ; Montréal : Bellarmin, 1971.</t>
        </is>
      </c>
      <c r="M742" t="inlineStr">
        <is>
          <t>1971</t>
        </is>
      </c>
      <c r="O742" t="inlineStr">
        <is>
          <t>fre</t>
        </is>
      </c>
      <c r="P742" t="inlineStr">
        <is>
          <t>___</t>
        </is>
      </c>
      <c r="Q742" t="inlineStr">
        <is>
          <t>Recherches publiées par les Facultés S. J. de Montréal, no. 2. Théologie</t>
        </is>
      </c>
      <c r="R742" t="inlineStr">
        <is>
          <t xml:space="preserve">BV </t>
        </is>
      </c>
      <c r="S742" t="n">
        <v>2</v>
      </c>
      <c r="T742" t="n">
        <v>2</v>
      </c>
      <c r="U742" t="inlineStr">
        <is>
          <t>2005-09-12</t>
        </is>
      </c>
      <c r="V742" t="inlineStr">
        <is>
          <t>2005-09-12</t>
        </is>
      </c>
      <c r="W742" t="inlineStr">
        <is>
          <t>1992-03-04</t>
        </is>
      </c>
      <c r="X742" t="inlineStr">
        <is>
          <t>1992-03-04</t>
        </is>
      </c>
      <c r="Y742" t="n">
        <v>67</v>
      </c>
      <c r="Z742" t="n">
        <v>42</v>
      </c>
      <c r="AA742" t="n">
        <v>42</v>
      </c>
      <c r="AB742" t="n">
        <v>1</v>
      </c>
      <c r="AC742" t="n">
        <v>1</v>
      </c>
      <c r="AD742" t="n">
        <v>5</v>
      </c>
      <c r="AE742" t="n">
        <v>5</v>
      </c>
      <c r="AF742" t="n">
        <v>0</v>
      </c>
      <c r="AG742" t="n">
        <v>0</v>
      </c>
      <c r="AH742" t="n">
        <v>1</v>
      </c>
      <c r="AI742" t="n">
        <v>1</v>
      </c>
      <c r="AJ742" t="n">
        <v>5</v>
      </c>
      <c r="AK742" t="n">
        <v>5</v>
      </c>
      <c r="AL742" t="n">
        <v>0</v>
      </c>
      <c r="AM742" t="n">
        <v>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HYPERLINK("https://creighton-primo.hosted.exlibrisgroup.com/primo-explore/search?tab=default_tab&amp;search_scope=EVERYTHING&amp;vid=01CRU&amp;lang=en_US&amp;offset=0&amp;query=any,contains,991002981649702656","Catalog Record")</f>
        <v/>
      </c>
      <c r="AT742">
        <f>HYPERLINK("http://www.worldcat.org/oclc/555319","WorldCat Record")</f>
        <v/>
      </c>
      <c r="AU742" t="inlineStr">
        <is>
          <t>181370741:fre</t>
        </is>
      </c>
      <c r="AV742" t="inlineStr">
        <is>
          <t>555319</t>
        </is>
      </c>
      <c r="AW742" t="inlineStr">
        <is>
          <t>991002981649702656</t>
        </is>
      </c>
      <c r="AX742" t="inlineStr">
        <is>
          <t>991002981649702656</t>
        </is>
      </c>
      <c r="AY742" t="inlineStr">
        <is>
          <t>2260386780002656</t>
        </is>
      </c>
      <c r="AZ742" t="inlineStr">
        <is>
          <t>BOOK</t>
        </is>
      </c>
      <c r="BC742" t="inlineStr">
        <is>
          <t>32285000968569</t>
        </is>
      </c>
      <c r="BD742" t="inlineStr">
        <is>
          <t>893616851</t>
        </is>
      </c>
    </row>
    <row r="743">
      <c r="A743" t="inlineStr">
        <is>
          <t>No</t>
        </is>
      </c>
      <c r="B743" t="inlineStr">
        <is>
          <t>BV4655 .G3 1937</t>
        </is>
      </c>
      <c r="C743" t="inlineStr">
        <is>
          <t>0                      BV 4655000G  3           1937</t>
        </is>
      </c>
      <c r="D743" t="inlineStr">
        <is>
          <t>The old law and the new morality : six lectures on the Commandments delivered in St. Francis Xavier's church, Gardiner street, Dublin, in the Lent of 1936 / by Rev. P. J. Gannon.</t>
        </is>
      </c>
      <c r="F743" t="inlineStr">
        <is>
          <t>No</t>
        </is>
      </c>
      <c r="G743" t="inlineStr">
        <is>
          <t>1</t>
        </is>
      </c>
      <c r="H743" t="inlineStr">
        <is>
          <t>No</t>
        </is>
      </c>
      <c r="I743" t="inlineStr">
        <is>
          <t>No</t>
        </is>
      </c>
      <c r="J743" t="inlineStr">
        <is>
          <t>0</t>
        </is>
      </c>
      <c r="K743" t="inlineStr">
        <is>
          <t>Gannon, Patrick Joseph, 1879-1953.</t>
        </is>
      </c>
      <c r="L743" t="inlineStr">
        <is>
          <t>London ; Dublin : Burns, Oates &amp; Washbourne, ltd., [1937, c1936]</t>
        </is>
      </c>
      <c r="M743" t="inlineStr">
        <is>
          <t>1937</t>
        </is>
      </c>
      <c r="O743" t="inlineStr">
        <is>
          <t>eng</t>
        </is>
      </c>
      <c r="P743" t="inlineStr">
        <is>
          <t>enk</t>
        </is>
      </c>
      <c r="R743" t="inlineStr">
        <is>
          <t xml:space="preserve">BV </t>
        </is>
      </c>
      <c r="S743" t="n">
        <v>2</v>
      </c>
      <c r="T743" t="n">
        <v>2</v>
      </c>
      <c r="U743" t="inlineStr">
        <is>
          <t>2009-11-24</t>
        </is>
      </c>
      <c r="V743" t="inlineStr">
        <is>
          <t>2009-11-24</t>
        </is>
      </c>
      <c r="W743" t="inlineStr">
        <is>
          <t>1992-03-04</t>
        </is>
      </c>
      <c r="X743" t="inlineStr">
        <is>
          <t>1992-03-04</t>
        </is>
      </c>
      <c r="Y743" t="n">
        <v>31</v>
      </c>
      <c r="Z743" t="n">
        <v>25</v>
      </c>
      <c r="AA743" t="n">
        <v>26</v>
      </c>
      <c r="AB743" t="n">
        <v>1</v>
      </c>
      <c r="AC743" t="n">
        <v>1</v>
      </c>
      <c r="AD743" t="n">
        <v>5</v>
      </c>
      <c r="AE743" t="n">
        <v>5</v>
      </c>
      <c r="AF743" t="n">
        <v>0</v>
      </c>
      <c r="AG743" t="n">
        <v>0</v>
      </c>
      <c r="AH743" t="n">
        <v>1</v>
      </c>
      <c r="AI743" t="n">
        <v>1</v>
      </c>
      <c r="AJ743" t="n">
        <v>4</v>
      </c>
      <c r="AK743" t="n">
        <v>4</v>
      </c>
      <c r="AL743" t="n">
        <v>0</v>
      </c>
      <c r="AM743" t="n">
        <v>0</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HYPERLINK("https://creighton-primo.hosted.exlibrisgroup.com/primo-explore/search?tab=default_tab&amp;search_scope=EVERYTHING&amp;vid=01CRU&amp;lang=en_US&amp;offset=0&amp;query=any,contains,991005005209702656","Catalog Record")</f>
        <v/>
      </c>
      <c r="AT743">
        <f>HYPERLINK("http://www.worldcat.org/oclc/6561142","WorldCat Record")</f>
        <v/>
      </c>
      <c r="AU743" t="inlineStr">
        <is>
          <t>430037644:eng</t>
        </is>
      </c>
      <c r="AV743" t="inlineStr">
        <is>
          <t>6561142</t>
        </is>
      </c>
      <c r="AW743" t="inlineStr">
        <is>
          <t>991005005209702656</t>
        </is>
      </c>
      <c r="AX743" t="inlineStr">
        <is>
          <t>991005005209702656</t>
        </is>
      </c>
      <c r="AY743" t="inlineStr">
        <is>
          <t>2269271720002656</t>
        </is>
      </c>
      <c r="AZ743" t="inlineStr">
        <is>
          <t>BOOK</t>
        </is>
      </c>
      <c r="BC743" t="inlineStr">
        <is>
          <t>32285000968577</t>
        </is>
      </c>
      <c r="BD743" t="inlineStr">
        <is>
          <t>893353637</t>
        </is>
      </c>
    </row>
    <row r="744">
      <c r="A744" t="inlineStr">
        <is>
          <t>No</t>
        </is>
      </c>
      <c r="B744" t="inlineStr">
        <is>
          <t>BV4655 .G67</t>
        </is>
      </c>
      <c r="C744" t="inlineStr">
        <is>
          <t>0                      BV 4655000G  67</t>
        </is>
      </c>
      <c r="D744" t="inlineStr">
        <is>
          <t>The Sinai myth / [by] Andrew M. Greeley.</t>
        </is>
      </c>
      <c r="F744" t="inlineStr">
        <is>
          <t>No</t>
        </is>
      </c>
      <c r="G744" t="inlineStr">
        <is>
          <t>1</t>
        </is>
      </c>
      <c r="H744" t="inlineStr">
        <is>
          <t>No</t>
        </is>
      </c>
      <c r="I744" t="inlineStr">
        <is>
          <t>No</t>
        </is>
      </c>
      <c r="J744" t="inlineStr">
        <is>
          <t>0</t>
        </is>
      </c>
      <c r="K744" t="inlineStr">
        <is>
          <t>Greeley, Andrew M., 1928-2013.</t>
        </is>
      </c>
      <c r="L744" t="inlineStr">
        <is>
          <t>Garden City, N.Y., Doubleday, 1972.</t>
        </is>
      </c>
      <c r="M744" t="inlineStr">
        <is>
          <t>1972</t>
        </is>
      </c>
      <c r="N744" t="inlineStr">
        <is>
          <t>[1st ed.]</t>
        </is>
      </c>
      <c r="O744" t="inlineStr">
        <is>
          <t>eng</t>
        </is>
      </c>
      <c r="P744" t="inlineStr">
        <is>
          <t>nyu</t>
        </is>
      </c>
      <c r="R744" t="inlineStr">
        <is>
          <t xml:space="preserve">BV </t>
        </is>
      </c>
      <c r="S744" t="n">
        <v>1</v>
      </c>
      <c r="T744" t="n">
        <v>1</v>
      </c>
      <c r="U744" t="inlineStr">
        <is>
          <t>2010-04-14</t>
        </is>
      </c>
      <c r="V744" t="inlineStr">
        <is>
          <t>2010-04-14</t>
        </is>
      </c>
      <c r="W744" t="inlineStr">
        <is>
          <t>1992-03-04</t>
        </is>
      </c>
      <c r="X744" t="inlineStr">
        <is>
          <t>1992-03-04</t>
        </is>
      </c>
      <c r="Y744" t="n">
        <v>492</v>
      </c>
      <c r="Z744" t="n">
        <v>450</v>
      </c>
      <c r="AA744" t="n">
        <v>507</v>
      </c>
      <c r="AB744" t="n">
        <v>4</v>
      </c>
      <c r="AC744" t="n">
        <v>4</v>
      </c>
      <c r="AD744" t="n">
        <v>27</v>
      </c>
      <c r="AE744" t="n">
        <v>32</v>
      </c>
      <c r="AF744" t="n">
        <v>8</v>
      </c>
      <c r="AG744" t="n">
        <v>8</v>
      </c>
      <c r="AH744" t="n">
        <v>7</v>
      </c>
      <c r="AI744" t="n">
        <v>8</v>
      </c>
      <c r="AJ744" t="n">
        <v>18</v>
      </c>
      <c r="AK744" t="n">
        <v>23</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HYPERLINK("https://creighton-primo.hosted.exlibrisgroup.com/primo-explore/search?tab=default_tab&amp;search_scope=EVERYTHING&amp;vid=01CRU&amp;lang=en_US&amp;offset=0&amp;query=any,contains,991003077589702656","Catalog Record")</f>
        <v/>
      </c>
      <c r="AT744">
        <f>HYPERLINK("http://www.worldcat.org/oclc/630554","WorldCat Record")</f>
        <v/>
      </c>
      <c r="AU744" t="inlineStr">
        <is>
          <t>1739430:eng</t>
        </is>
      </c>
      <c r="AV744" t="inlineStr">
        <is>
          <t>630554</t>
        </is>
      </c>
      <c r="AW744" t="inlineStr">
        <is>
          <t>991003077589702656</t>
        </is>
      </c>
      <c r="AX744" t="inlineStr">
        <is>
          <t>991003077589702656</t>
        </is>
      </c>
      <c r="AY744" t="inlineStr">
        <is>
          <t>2262325380002656</t>
        </is>
      </c>
      <c r="AZ744" t="inlineStr">
        <is>
          <t>BOOK</t>
        </is>
      </c>
      <c r="BB744" t="inlineStr">
        <is>
          <t>9780385014687</t>
        </is>
      </c>
      <c r="BC744" t="inlineStr">
        <is>
          <t>32285000968585</t>
        </is>
      </c>
      <c r="BD744" t="inlineStr">
        <is>
          <t>893239860</t>
        </is>
      </c>
    </row>
    <row r="745">
      <c r="A745" t="inlineStr">
        <is>
          <t>No</t>
        </is>
      </c>
      <c r="B745" t="inlineStr">
        <is>
          <t>BV4655 .H4</t>
        </is>
      </c>
      <c r="C745" t="inlineStr">
        <is>
          <t>0                      BV 4655000H  4</t>
        </is>
      </c>
      <c r="D745" t="inlineStr">
        <is>
          <t>The Ten commandments and modern man / H.G.G. Herklots.</t>
        </is>
      </c>
      <c r="F745" t="inlineStr">
        <is>
          <t>No</t>
        </is>
      </c>
      <c r="G745" t="inlineStr">
        <is>
          <t>1</t>
        </is>
      </c>
      <c r="H745" t="inlineStr">
        <is>
          <t>No</t>
        </is>
      </c>
      <c r="I745" t="inlineStr">
        <is>
          <t>No</t>
        </is>
      </c>
      <c r="J745" t="inlineStr">
        <is>
          <t>0</t>
        </is>
      </c>
      <c r="K745" t="inlineStr">
        <is>
          <t>Herklots, H. G. G. (Hugh Gerard Gibson), 1903-1971.</t>
        </is>
      </c>
      <c r="L745" t="inlineStr">
        <is>
          <t>London, Ernest Benn Ltd. [1958]</t>
        </is>
      </c>
      <c r="M745" t="inlineStr">
        <is>
          <t>1958</t>
        </is>
      </c>
      <c r="O745" t="inlineStr">
        <is>
          <t>eng</t>
        </is>
      </c>
      <c r="P745" t="inlineStr">
        <is>
          <t>___</t>
        </is>
      </c>
      <c r="R745" t="inlineStr">
        <is>
          <t xml:space="preserve">BV </t>
        </is>
      </c>
      <c r="S745" t="n">
        <v>7</v>
      </c>
      <c r="T745" t="n">
        <v>7</v>
      </c>
      <c r="U745" t="inlineStr">
        <is>
          <t>2009-11-24</t>
        </is>
      </c>
      <c r="V745" t="inlineStr">
        <is>
          <t>2009-11-24</t>
        </is>
      </c>
      <c r="W745" t="inlineStr">
        <is>
          <t>1992-03-04</t>
        </is>
      </c>
      <c r="X745" t="inlineStr">
        <is>
          <t>1992-03-04</t>
        </is>
      </c>
      <c r="Y745" t="n">
        <v>137</v>
      </c>
      <c r="Z745" t="n">
        <v>107</v>
      </c>
      <c r="AA745" t="n">
        <v>234</v>
      </c>
      <c r="AB745" t="n">
        <v>1</v>
      </c>
      <c r="AC745" t="n">
        <v>3</v>
      </c>
      <c r="AD745" t="n">
        <v>3</v>
      </c>
      <c r="AE745" t="n">
        <v>6</v>
      </c>
      <c r="AF745" t="n">
        <v>3</v>
      </c>
      <c r="AG745" t="n">
        <v>4</v>
      </c>
      <c r="AH745" t="n">
        <v>0</v>
      </c>
      <c r="AI745" t="n">
        <v>0</v>
      </c>
      <c r="AJ745" t="n">
        <v>1</v>
      </c>
      <c r="AK745" t="n">
        <v>1</v>
      </c>
      <c r="AL745" t="n">
        <v>0</v>
      </c>
      <c r="AM745" t="n">
        <v>2</v>
      </c>
      <c r="AN745" t="n">
        <v>0</v>
      </c>
      <c r="AO745" t="n">
        <v>0</v>
      </c>
      <c r="AP745" t="inlineStr">
        <is>
          <t>No</t>
        </is>
      </c>
      <c r="AQ745" t="inlineStr">
        <is>
          <t>Yes</t>
        </is>
      </c>
      <c r="AR745">
        <f>HYPERLINK("http://catalog.hathitrust.org/Record/009906995","HathiTrust Record")</f>
        <v/>
      </c>
      <c r="AS745">
        <f>HYPERLINK("https://creighton-primo.hosted.exlibrisgroup.com/primo-explore/search?tab=default_tab&amp;search_scope=EVERYTHING&amp;vid=01CRU&amp;lang=en_US&amp;offset=0&amp;query=any,contains,991002644159702656","Catalog Record")</f>
        <v/>
      </c>
      <c r="AT745">
        <f>HYPERLINK("http://www.worldcat.org/oclc/385199","WorldCat Record")</f>
        <v/>
      </c>
      <c r="AU745" t="inlineStr">
        <is>
          <t>1506519:eng</t>
        </is>
      </c>
      <c r="AV745" t="inlineStr">
        <is>
          <t>385199</t>
        </is>
      </c>
      <c r="AW745" t="inlineStr">
        <is>
          <t>991002644159702656</t>
        </is>
      </c>
      <c r="AX745" t="inlineStr">
        <is>
          <t>991002644159702656</t>
        </is>
      </c>
      <c r="AY745" t="inlineStr">
        <is>
          <t>2258918100002656</t>
        </is>
      </c>
      <c r="AZ745" t="inlineStr">
        <is>
          <t>BOOK</t>
        </is>
      </c>
      <c r="BC745" t="inlineStr">
        <is>
          <t>32285000968593</t>
        </is>
      </c>
      <c r="BD745" t="inlineStr">
        <is>
          <t>893317076</t>
        </is>
      </c>
    </row>
    <row r="746">
      <c r="A746" t="inlineStr">
        <is>
          <t>No</t>
        </is>
      </c>
      <c r="B746" t="inlineStr">
        <is>
          <t>BV4655 .L58 1944</t>
        </is>
      </c>
      <c r="C746" t="inlineStr">
        <is>
          <t>0                      BV 4655000L  58          1944</t>
        </is>
      </c>
      <c r="D746" t="inlineStr">
        <is>
          <t>The glorious Ten commandments / by Daniel A. Lord, S.J.</t>
        </is>
      </c>
      <c r="F746" t="inlineStr">
        <is>
          <t>No</t>
        </is>
      </c>
      <c r="G746" t="inlineStr">
        <is>
          <t>1</t>
        </is>
      </c>
      <c r="H746" t="inlineStr">
        <is>
          <t>No</t>
        </is>
      </c>
      <c r="I746" t="inlineStr">
        <is>
          <t>No</t>
        </is>
      </c>
      <c r="J746" t="inlineStr">
        <is>
          <t>0</t>
        </is>
      </c>
      <c r="K746" t="inlineStr">
        <is>
          <t>Lord, Daniel A. (Daniel Aloysius), 1888-1955.</t>
        </is>
      </c>
      <c r="L746" t="inlineStr">
        <is>
          <t>St. Louis, Mo. : The Queen's work, [1944]</t>
        </is>
      </c>
      <c r="M746" t="inlineStr">
        <is>
          <t>1944</t>
        </is>
      </c>
      <c r="O746" t="inlineStr">
        <is>
          <t>eng</t>
        </is>
      </c>
      <c r="P746" t="inlineStr">
        <is>
          <t>___</t>
        </is>
      </c>
      <c r="R746" t="inlineStr">
        <is>
          <t xml:space="preserve">BV </t>
        </is>
      </c>
      <c r="S746" t="n">
        <v>2</v>
      </c>
      <c r="T746" t="n">
        <v>2</v>
      </c>
      <c r="U746" t="inlineStr">
        <is>
          <t>2009-11-20</t>
        </is>
      </c>
      <c r="V746" t="inlineStr">
        <is>
          <t>2009-11-20</t>
        </is>
      </c>
      <c r="W746" t="inlineStr">
        <is>
          <t>1992-03-04</t>
        </is>
      </c>
      <c r="X746" t="inlineStr">
        <is>
          <t>1992-03-04</t>
        </is>
      </c>
      <c r="Y746" t="n">
        <v>98</v>
      </c>
      <c r="Z746" t="n">
        <v>83</v>
      </c>
      <c r="AA746" t="n">
        <v>83</v>
      </c>
      <c r="AB746" t="n">
        <v>2</v>
      </c>
      <c r="AC746" t="n">
        <v>2</v>
      </c>
      <c r="AD746" t="n">
        <v>22</v>
      </c>
      <c r="AE746" t="n">
        <v>22</v>
      </c>
      <c r="AF746" t="n">
        <v>7</v>
      </c>
      <c r="AG746" t="n">
        <v>7</v>
      </c>
      <c r="AH746" t="n">
        <v>5</v>
      </c>
      <c r="AI746" t="n">
        <v>5</v>
      </c>
      <c r="AJ746" t="n">
        <v>18</v>
      </c>
      <c r="AK746" t="n">
        <v>18</v>
      </c>
      <c r="AL746" t="n">
        <v>0</v>
      </c>
      <c r="AM746" t="n">
        <v>0</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HYPERLINK("https://creighton-primo.hosted.exlibrisgroup.com/primo-explore/search?tab=default_tab&amp;search_scope=EVERYTHING&amp;vid=01CRU&amp;lang=en_US&amp;offset=0&amp;query=any,contains,991003309689702656","Catalog Record")</f>
        <v/>
      </c>
      <c r="AT746">
        <f>HYPERLINK("http://www.worldcat.org/oclc/833542","WorldCat Record")</f>
        <v/>
      </c>
      <c r="AU746" t="inlineStr">
        <is>
          <t>1750362:eng</t>
        </is>
      </c>
      <c r="AV746" t="inlineStr">
        <is>
          <t>833542</t>
        </is>
      </c>
      <c r="AW746" t="inlineStr">
        <is>
          <t>991003309689702656</t>
        </is>
      </c>
      <c r="AX746" t="inlineStr">
        <is>
          <t>991003309689702656</t>
        </is>
      </c>
      <c r="AY746" t="inlineStr">
        <is>
          <t>2271625330002656</t>
        </is>
      </c>
      <c r="AZ746" t="inlineStr">
        <is>
          <t>BOOK</t>
        </is>
      </c>
      <c r="BC746" t="inlineStr">
        <is>
          <t>32285000968601</t>
        </is>
      </c>
      <c r="BD746" t="inlineStr">
        <is>
          <t>893721890</t>
        </is>
      </c>
    </row>
    <row r="747">
      <c r="A747" t="inlineStr">
        <is>
          <t>No</t>
        </is>
      </c>
      <c r="B747" t="inlineStr">
        <is>
          <t>BV467 .A8 1997</t>
        </is>
      </c>
      <c r="C747" t="inlineStr">
        <is>
          <t>0                      BV 0467000A  8           1997</t>
        </is>
      </c>
      <c r="D747" t="inlineStr">
        <is>
          <t>At the lighting of the lamps : hymns of the ancient church.</t>
        </is>
      </c>
      <c r="F747" t="inlineStr">
        <is>
          <t>No</t>
        </is>
      </c>
      <c r="G747" t="inlineStr">
        <is>
          <t>1</t>
        </is>
      </c>
      <c r="H747" t="inlineStr">
        <is>
          <t>No</t>
        </is>
      </c>
      <c r="I747" t="inlineStr">
        <is>
          <t>No</t>
        </is>
      </c>
      <c r="J747" t="inlineStr">
        <is>
          <t>0</t>
        </is>
      </c>
      <c r="L747" t="inlineStr">
        <is>
          <t>Harrisburg, Penn. : Morehouse Pub., [1997].</t>
        </is>
      </c>
      <c r="M747" t="inlineStr">
        <is>
          <t>1997</t>
        </is>
      </c>
      <c r="O747" t="inlineStr">
        <is>
          <t>eng</t>
        </is>
      </c>
      <c r="P747" t="inlineStr">
        <is>
          <t>pau</t>
        </is>
      </c>
      <c r="R747" t="inlineStr">
        <is>
          <t xml:space="preserve">BV </t>
        </is>
      </c>
      <c r="S747" t="n">
        <v>1</v>
      </c>
      <c r="T747" t="n">
        <v>1</v>
      </c>
      <c r="U747" t="inlineStr">
        <is>
          <t>2006-03-20</t>
        </is>
      </c>
      <c r="V747" t="inlineStr">
        <is>
          <t>2006-03-20</t>
        </is>
      </c>
      <c r="W747" t="inlineStr">
        <is>
          <t>1999-09-13</t>
        </is>
      </c>
      <c r="X747" t="inlineStr">
        <is>
          <t>1999-09-13</t>
        </is>
      </c>
      <c r="Y747" t="n">
        <v>103</v>
      </c>
      <c r="Z747" t="n">
        <v>95</v>
      </c>
      <c r="AA747" t="n">
        <v>130</v>
      </c>
      <c r="AB747" t="n">
        <v>1</v>
      </c>
      <c r="AC747" t="n">
        <v>2</v>
      </c>
      <c r="AD747" t="n">
        <v>10</v>
      </c>
      <c r="AE747" t="n">
        <v>13</v>
      </c>
      <c r="AF747" t="n">
        <v>5</v>
      </c>
      <c r="AG747" t="n">
        <v>6</v>
      </c>
      <c r="AH747" t="n">
        <v>2</v>
      </c>
      <c r="AI747" t="n">
        <v>3</v>
      </c>
      <c r="AJ747" t="n">
        <v>4</v>
      </c>
      <c r="AK747" t="n">
        <v>5</v>
      </c>
      <c r="AL747" t="n">
        <v>0</v>
      </c>
      <c r="AM747" t="n">
        <v>1</v>
      </c>
      <c r="AN747" t="n">
        <v>0</v>
      </c>
      <c r="AO747" t="n">
        <v>0</v>
      </c>
      <c r="AP747" t="inlineStr">
        <is>
          <t>No</t>
        </is>
      </c>
      <c r="AQ747" t="inlineStr">
        <is>
          <t>Yes</t>
        </is>
      </c>
      <c r="AR747">
        <f>HYPERLINK("http://catalog.hathitrust.org/Record/102059487","HathiTrust Record")</f>
        <v/>
      </c>
      <c r="AS747">
        <f>HYPERLINK("https://creighton-primo.hosted.exlibrisgroup.com/primo-explore/search?tab=default_tab&amp;search_scope=EVERYTHING&amp;vid=01CRU&amp;lang=en_US&amp;offset=0&amp;query=any,contains,991002847989702656","Catalog Record")</f>
        <v/>
      </c>
      <c r="AT747">
        <f>HYPERLINK("http://www.worldcat.org/oclc/37527702","WorldCat Record")</f>
        <v/>
      </c>
      <c r="AU747" t="inlineStr">
        <is>
          <t>56152953:eng</t>
        </is>
      </c>
      <c r="AV747" t="inlineStr">
        <is>
          <t>37527702</t>
        </is>
      </c>
      <c r="AW747" t="inlineStr">
        <is>
          <t>991002847989702656</t>
        </is>
      </c>
      <c r="AX747" t="inlineStr">
        <is>
          <t>991002847989702656</t>
        </is>
      </c>
      <c r="AY747" t="inlineStr">
        <is>
          <t>2265061110002656</t>
        </is>
      </c>
      <c r="AZ747" t="inlineStr">
        <is>
          <t>BOOK</t>
        </is>
      </c>
      <c r="BB747" t="inlineStr">
        <is>
          <t>9780819217172</t>
        </is>
      </c>
      <c r="BC747" t="inlineStr">
        <is>
          <t>32285003588232</t>
        </is>
      </c>
      <c r="BD747" t="inlineStr">
        <is>
          <t>893239583</t>
        </is>
      </c>
    </row>
    <row r="748">
      <c r="A748" t="inlineStr">
        <is>
          <t>No</t>
        </is>
      </c>
      <c r="B748" t="inlineStr">
        <is>
          <t>BV467 .M3 1963</t>
        </is>
      </c>
      <c r="C748" t="inlineStr">
        <is>
          <t>0                      BV 0467000M  3           1963</t>
        </is>
      </c>
      <c r="D748" t="inlineStr">
        <is>
          <t>Sancti Romani Melodi cantica : cantica genuina / edited by Paul Maas and C.A. Trypanis.</t>
        </is>
      </c>
      <c r="F748" t="inlineStr">
        <is>
          <t>No</t>
        </is>
      </c>
      <c r="G748" t="inlineStr">
        <is>
          <t>1</t>
        </is>
      </c>
      <c r="H748" t="inlineStr">
        <is>
          <t>No</t>
        </is>
      </c>
      <c r="I748" t="inlineStr">
        <is>
          <t>No</t>
        </is>
      </c>
      <c r="J748" t="inlineStr">
        <is>
          <t>0</t>
        </is>
      </c>
      <c r="K748" t="inlineStr">
        <is>
          <t>Maas, Paul, 1880-1964 editor.</t>
        </is>
      </c>
      <c r="L748" t="inlineStr">
        <is>
          <t>Oxford : Clarendon Press, 1963.</t>
        </is>
      </c>
      <c r="M748" t="inlineStr">
        <is>
          <t>1963</t>
        </is>
      </c>
      <c r="O748" t="inlineStr">
        <is>
          <t>ita</t>
        </is>
      </c>
      <c r="P748" t="inlineStr">
        <is>
          <t>enk</t>
        </is>
      </c>
      <c r="R748" t="inlineStr">
        <is>
          <t xml:space="preserve">BV </t>
        </is>
      </c>
      <c r="S748" t="n">
        <v>1</v>
      </c>
      <c r="T748" t="n">
        <v>1</v>
      </c>
      <c r="U748" t="inlineStr">
        <is>
          <t>2006-10-30</t>
        </is>
      </c>
      <c r="V748" t="inlineStr">
        <is>
          <t>2006-10-30</t>
        </is>
      </c>
      <c r="W748" t="inlineStr">
        <is>
          <t>2006-10-30</t>
        </is>
      </c>
      <c r="X748" t="inlineStr">
        <is>
          <t>2006-10-30</t>
        </is>
      </c>
      <c r="Y748" t="n">
        <v>56</v>
      </c>
      <c r="Z748" t="n">
        <v>24</v>
      </c>
      <c r="AA748" t="n">
        <v>44</v>
      </c>
      <c r="AB748" t="n">
        <v>1</v>
      </c>
      <c r="AC748" t="n">
        <v>1</v>
      </c>
      <c r="AD748" t="n">
        <v>2</v>
      </c>
      <c r="AE748" t="n">
        <v>5</v>
      </c>
      <c r="AF748" t="n">
        <v>0</v>
      </c>
      <c r="AG748" t="n">
        <v>1</v>
      </c>
      <c r="AH748" t="n">
        <v>0</v>
      </c>
      <c r="AI748" t="n">
        <v>1</v>
      </c>
      <c r="AJ748" t="n">
        <v>2</v>
      </c>
      <c r="AK748" t="n">
        <v>3</v>
      </c>
      <c r="AL748" t="n">
        <v>0</v>
      </c>
      <c r="AM748" t="n">
        <v>0</v>
      </c>
      <c r="AN748" t="n">
        <v>0</v>
      </c>
      <c r="AO748" t="n">
        <v>0</v>
      </c>
      <c r="AP748" t="inlineStr">
        <is>
          <t>No</t>
        </is>
      </c>
      <c r="AQ748" t="inlineStr">
        <is>
          <t>Yes</t>
        </is>
      </c>
      <c r="AR748">
        <f>HYPERLINK("http://catalog.hathitrust.org/Record/001769017","HathiTrust Record")</f>
        <v/>
      </c>
      <c r="AS748">
        <f>HYPERLINK("https://creighton-primo.hosted.exlibrisgroup.com/primo-explore/search?tab=default_tab&amp;search_scope=EVERYTHING&amp;vid=01CRU&amp;lang=en_US&amp;offset=0&amp;query=any,contains,991004960959702656","Catalog Record")</f>
        <v/>
      </c>
      <c r="AT748">
        <f>HYPERLINK("http://www.worldcat.org/oclc/23522076","WorldCat Record")</f>
        <v/>
      </c>
      <c r="AU748" t="inlineStr">
        <is>
          <t>1825911646:grc</t>
        </is>
      </c>
      <c r="AV748" t="inlineStr">
        <is>
          <t>23522076</t>
        </is>
      </c>
      <c r="AW748" t="inlineStr">
        <is>
          <t>991004960959702656</t>
        </is>
      </c>
      <c r="AX748" t="inlineStr">
        <is>
          <t>991004960959702656</t>
        </is>
      </c>
      <c r="AY748" t="inlineStr">
        <is>
          <t>2259393830002656</t>
        </is>
      </c>
      <c r="AZ748" t="inlineStr">
        <is>
          <t>BOOK</t>
        </is>
      </c>
      <c r="BC748" t="inlineStr">
        <is>
          <t>32285005229967</t>
        </is>
      </c>
      <c r="BD748" t="inlineStr">
        <is>
          <t>893507423</t>
        </is>
      </c>
    </row>
    <row r="749">
      <c r="A749" t="inlineStr">
        <is>
          <t>No</t>
        </is>
      </c>
      <c r="B749" t="inlineStr">
        <is>
          <t>BV468 .B73 1936</t>
        </is>
      </c>
      <c r="C749" t="inlineStr">
        <is>
          <t>0                      BV 0468000B  73          1936</t>
        </is>
      </c>
      <c r="D749" t="inlineStr">
        <is>
          <t>The hymns of the breviary and missal, edited with introduction and notes by Rev. Matthew Britt. Preface by Rt. Rev. Msgr. Hugh T. Henry.</t>
        </is>
      </c>
      <c r="F749" t="inlineStr">
        <is>
          <t>No</t>
        </is>
      </c>
      <c r="G749" t="inlineStr">
        <is>
          <t>1</t>
        </is>
      </c>
      <c r="H749" t="inlineStr">
        <is>
          <t>No</t>
        </is>
      </c>
      <c r="I749" t="inlineStr">
        <is>
          <t>Yes</t>
        </is>
      </c>
      <c r="J749" t="inlineStr">
        <is>
          <t>0</t>
        </is>
      </c>
      <c r="K749" t="inlineStr">
        <is>
          <t>Britt, Matthew, 1872-1955, editor.</t>
        </is>
      </c>
      <c r="L749" t="inlineStr">
        <is>
          <t>New York, Benziger Bros., 1936.</t>
        </is>
      </c>
      <c r="M749" t="inlineStr">
        <is>
          <t>1936</t>
        </is>
      </c>
      <c r="N749" t="inlineStr">
        <is>
          <t>Rev. ed.</t>
        </is>
      </c>
      <c r="O749" t="inlineStr">
        <is>
          <t>eng</t>
        </is>
      </c>
      <c r="P749" t="inlineStr">
        <is>
          <t>___</t>
        </is>
      </c>
      <c r="R749" t="inlineStr">
        <is>
          <t xml:space="preserve">BV </t>
        </is>
      </c>
      <c r="S749" t="n">
        <v>1</v>
      </c>
      <c r="T749" t="n">
        <v>1</v>
      </c>
      <c r="U749" t="inlineStr">
        <is>
          <t>2005-10-25</t>
        </is>
      </c>
      <c r="V749" t="inlineStr">
        <is>
          <t>2005-10-25</t>
        </is>
      </c>
      <c r="W749" t="inlineStr">
        <is>
          <t>1992-01-08</t>
        </is>
      </c>
      <c r="X749" t="inlineStr">
        <is>
          <t>1992-01-08</t>
        </is>
      </c>
      <c r="Y749" t="n">
        <v>86</v>
      </c>
      <c r="Z749" t="n">
        <v>79</v>
      </c>
      <c r="AA749" t="n">
        <v>249</v>
      </c>
      <c r="AB749" t="n">
        <v>2</v>
      </c>
      <c r="AC749" t="n">
        <v>3</v>
      </c>
      <c r="AD749" t="n">
        <v>8</v>
      </c>
      <c r="AE749" t="n">
        <v>26</v>
      </c>
      <c r="AF749" t="n">
        <v>2</v>
      </c>
      <c r="AG749" t="n">
        <v>9</v>
      </c>
      <c r="AH749" t="n">
        <v>1</v>
      </c>
      <c r="AI749" t="n">
        <v>6</v>
      </c>
      <c r="AJ749" t="n">
        <v>7</v>
      </c>
      <c r="AK749" t="n">
        <v>19</v>
      </c>
      <c r="AL749" t="n">
        <v>0</v>
      </c>
      <c r="AM749" t="n">
        <v>1</v>
      </c>
      <c r="AN749" t="n">
        <v>0</v>
      </c>
      <c r="AO749" t="n">
        <v>0</v>
      </c>
      <c r="AP749" t="inlineStr">
        <is>
          <t>No</t>
        </is>
      </c>
      <c r="AQ749" t="inlineStr">
        <is>
          <t>Yes</t>
        </is>
      </c>
      <c r="AR749">
        <f>HYPERLINK("http://catalog.hathitrust.org/Record/100924047","HathiTrust Record")</f>
        <v/>
      </c>
      <c r="AS749">
        <f>HYPERLINK("https://creighton-primo.hosted.exlibrisgroup.com/primo-explore/search?tab=default_tab&amp;search_scope=EVERYTHING&amp;vid=01CRU&amp;lang=en_US&amp;offset=0&amp;query=any,contains,991003716949702656","Catalog Record")</f>
        <v/>
      </c>
      <c r="AT749">
        <f>HYPERLINK("http://www.worldcat.org/oclc/5173278","WorldCat Record")</f>
        <v/>
      </c>
      <c r="AU749" t="inlineStr">
        <is>
          <t>2266317:lat</t>
        </is>
      </c>
      <c r="AV749" t="inlineStr">
        <is>
          <t>5173278</t>
        </is>
      </c>
      <c r="AW749" t="inlineStr">
        <is>
          <t>991003716949702656</t>
        </is>
      </c>
      <c r="AX749" t="inlineStr">
        <is>
          <t>991003716949702656</t>
        </is>
      </c>
      <c r="AY749" t="inlineStr">
        <is>
          <t>2258905110002656</t>
        </is>
      </c>
      <c r="AZ749" t="inlineStr">
        <is>
          <t>BOOK</t>
        </is>
      </c>
      <c r="BC749" t="inlineStr">
        <is>
          <t>32285000902444</t>
        </is>
      </c>
      <c r="BD749" t="inlineStr">
        <is>
          <t>893441624</t>
        </is>
      </c>
    </row>
    <row r="750">
      <c r="A750" t="inlineStr">
        <is>
          <t>No</t>
        </is>
      </c>
      <c r="B750" t="inlineStr">
        <is>
          <t>BV468 .C6</t>
        </is>
      </c>
      <c r="C750" t="inlineStr">
        <is>
          <t>0                      BV 0468000C  6</t>
        </is>
      </c>
      <c r="D750" t="inlineStr">
        <is>
          <t>Corolla hymnorum sacrorum : being a selection of Latin hymns of the early and middle ages / trans. by John Lord Hayes.</t>
        </is>
      </c>
      <c r="F750" t="inlineStr">
        <is>
          <t>No</t>
        </is>
      </c>
      <c r="G750" t="inlineStr">
        <is>
          <t>1</t>
        </is>
      </c>
      <c r="H750" t="inlineStr">
        <is>
          <t>No</t>
        </is>
      </c>
      <c r="I750" t="inlineStr">
        <is>
          <t>No</t>
        </is>
      </c>
      <c r="J750" t="inlineStr">
        <is>
          <t>0</t>
        </is>
      </c>
      <c r="L750" t="inlineStr">
        <is>
          <t>Boston : Estes, 1887.</t>
        </is>
      </c>
      <c r="M750" t="inlineStr">
        <is>
          <t>1887</t>
        </is>
      </c>
      <c r="O750" t="inlineStr">
        <is>
          <t>eng</t>
        </is>
      </c>
      <c r="P750" t="inlineStr">
        <is>
          <t>mau</t>
        </is>
      </c>
      <c r="R750" t="inlineStr">
        <is>
          <t xml:space="preserve">BV </t>
        </is>
      </c>
      <c r="S750" t="n">
        <v>1</v>
      </c>
      <c r="T750" t="n">
        <v>1</v>
      </c>
      <c r="U750" t="inlineStr">
        <is>
          <t>2005-07-26</t>
        </is>
      </c>
      <c r="V750" t="inlineStr">
        <is>
          <t>2005-07-26</t>
        </is>
      </c>
      <c r="W750" t="inlineStr">
        <is>
          <t>1992-01-08</t>
        </is>
      </c>
      <c r="X750" t="inlineStr">
        <is>
          <t>1992-01-08</t>
        </is>
      </c>
      <c r="Y750" t="n">
        <v>50</v>
      </c>
      <c r="Z750" t="n">
        <v>45</v>
      </c>
      <c r="AA750" t="n">
        <v>57</v>
      </c>
      <c r="AB750" t="n">
        <v>1</v>
      </c>
      <c r="AC750" t="n">
        <v>1</v>
      </c>
      <c r="AD750" t="n">
        <v>3</v>
      </c>
      <c r="AE750" t="n">
        <v>3</v>
      </c>
      <c r="AF750" t="n">
        <v>1</v>
      </c>
      <c r="AG750" t="n">
        <v>1</v>
      </c>
      <c r="AH750" t="n">
        <v>0</v>
      </c>
      <c r="AI750" t="n">
        <v>0</v>
      </c>
      <c r="AJ750" t="n">
        <v>2</v>
      </c>
      <c r="AK750" t="n">
        <v>2</v>
      </c>
      <c r="AL750" t="n">
        <v>0</v>
      </c>
      <c r="AM750" t="n">
        <v>0</v>
      </c>
      <c r="AN750" t="n">
        <v>0</v>
      </c>
      <c r="AO750" t="n">
        <v>0</v>
      </c>
      <c r="AP750" t="inlineStr">
        <is>
          <t>Yes</t>
        </is>
      </c>
      <c r="AQ750" t="inlineStr">
        <is>
          <t>No</t>
        </is>
      </c>
      <c r="AR750">
        <f>HYPERLINK("http://catalog.hathitrust.org/Record/100432860","HathiTrust Record")</f>
        <v/>
      </c>
      <c r="AS750">
        <f>HYPERLINK("https://creighton-primo.hosted.exlibrisgroup.com/primo-explore/search?tab=default_tab&amp;search_scope=EVERYTHING&amp;vid=01CRU&amp;lang=en_US&amp;offset=0&amp;query=any,contains,991004380049702656","Catalog Record")</f>
        <v/>
      </c>
      <c r="AT750">
        <f>HYPERLINK("http://www.worldcat.org/oclc/3217518","WorldCat Record")</f>
        <v/>
      </c>
      <c r="AU750" t="inlineStr">
        <is>
          <t>54176993:eng</t>
        </is>
      </c>
      <c r="AV750" t="inlineStr">
        <is>
          <t>3217518</t>
        </is>
      </c>
      <c r="AW750" t="inlineStr">
        <is>
          <t>991004380049702656</t>
        </is>
      </c>
      <c r="AX750" t="inlineStr">
        <is>
          <t>991004380049702656</t>
        </is>
      </c>
      <c r="AY750" t="inlineStr">
        <is>
          <t>2271452390002656</t>
        </is>
      </c>
      <c r="AZ750" t="inlineStr">
        <is>
          <t>BOOK</t>
        </is>
      </c>
      <c r="BC750" t="inlineStr">
        <is>
          <t>32285000902451</t>
        </is>
      </c>
      <c r="BD750" t="inlineStr">
        <is>
          <t>893693878</t>
        </is>
      </c>
    </row>
    <row r="751">
      <c r="A751" t="inlineStr">
        <is>
          <t>No</t>
        </is>
      </c>
      <c r="B751" t="inlineStr">
        <is>
          <t>BV4680 .B35 2005</t>
        </is>
      </c>
      <c r="C751" t="inlineStr">
        <is>
          <t>0                      BV 4680000B  35          2005</t>
        </is>
      </c>
      <c r="D751" t="inlineStr">
        <is>
          <t>"You shall not kill" or "You shall not murder"? : the assault on a biblical text / Wilma Ann Bailey.</t>
        </is>
      </c>
      <c r="F751" t="inlineStr">
        <is>
          <t>No</t>
        </is>
      </c>
      <c r="G751" t="inlineStr">
        <is>
          <t>1</t>
        </is>
      </c>
      <c r="H751" t="inlineStr">
        <is>
          <t>No</t>
        </is>
      </c>
      <c r="I751" t="inlineStr">
        <is>
          <t>No</t>
        </is>
      </c>
      <c r="J751" t="inlineStr">
        <is>
          <t>0</t>
        </is>
      </c>
      <c r="K751" t="inlineStr">
        <is>
          <t>Bailey, Wilma A.</t>
        </is>
      </c>
      <c r="L751" t="inlineStr">
        <is>
          <t>Collegeville, Minn. : Liturgical Press, c2005.</t>
        </is>
      </c>
      <c r="M751" t="inlineStr">
        <is>
          <t>2005</t>
        </is>
      </c>
      <c r="O751" t="inlineStr">
        <is>
          <t>eng</t>
        </is>
      </c>
      <c r="P751" t="inlineStr">
        <is>
          <t>mnu</t>
        </is>
      </c>
      <c r="R751" t="inlineStr">
        <is>
          <t xml:space="preserve">BV </t>
        </is>
      </c>
      <c r="S751" t="n">
        <v>2</v>
      </c>
      <c r="T751" t="n">
        <v>2</v>
      </c>
      <c r="U751" t="inlineStr">
        <is>
          <t>2009-11-19</t>
        </is>
      </c>
      <c r="V751" t="inlineStr">
        <is>
          <t>2009-11-19</t>
        </is>
      </c>
      <c r="W751" t="inlineStr">
        <is>
          <t>2005-12-13</t>
        </is>
      </c>
      <c r="X751" t="inlineStr">
        <is>
          <t>2005-12-13</t>
        </is>
      </c>
      <c r="Y751" t="n">
        <v>188</v>
      </c>
      <c r="Z751" t="n">
        <v>154</v>
      </c>
      <c r="AA751" t="n">
        <v>154</v>
      </c>
      <c r="AB751" t="n">
        <v>1</v>
      </c>
      <c r="AC751" t="n">
        <v>1</v>
      </c>
      <c r="AD751" t="n">
        <v>14</v>
      </c>
      <c r="AE751" t="n">
        <v>14</v>
      </c>
      <c r="AF751" t="n">
        <v>5</v>
      </c>
      <c r="AG751" t="n">
        <v>5</v>
      </c>
      <c r="AH751" t="n">
        <v>5</v>
      </c>
      <c r="AI751" t="n">
        <v>5</v>
      </c>
      <c r="AJ751" t="n">
        <v>9</v>
      </c>
      <c r="AK751" t="n">
        <v>9</v>
      </c>
      <c r="AL751" t="n">
        <v>0</v>
      </c>
      <c r="AM751" t="n">
        <v>0</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HYPERLINK("https://creighton-primo.hosted.exlibrisgroup.com/primo-explore/search?tab=default_tab&amp;search_scope=EVERYTHING&amp;vid=01CRU&amp;lang=en_US&amp;offset=0&amp;query=any,contains,991004684279702656","Catalog Record")</f>
        <v/>
      </c>
      <c r="AT751">
        <f>HYPERLINK("http://www.worldcat.org/oclc/57514787","WorldCat Record")</f>
        <v/>
      </c>
      <c r="AU751" t="inlineStr">
        <is>
          <t>2760647:eng</t>
        </is>
      </c>
      <c r="AV751" t="inlineStr">
        <is>
          <t>57514787</t>
        </is>
      </c>
      <c r="AW751" t="inlineStr">
        <is>
          <t>991004684279702656</t>
        </is>
      </c>
      <c r="AX751" t="inlineStr">
        <is>
          <t>991004684279702656</t>
        </is>
      </c>
      <c r="AY751" t="inlineStr">
        <is>
          <t>2254869230002656</t>
        </is>
      </c>
      <c r="AZ751" t="inlineStr">
        <is>
          <t>BOOK</t>
        </is>
      </c>
      <c r="BB751" t="inlineStr">
        <is>
          <t>9780814652145</t>
        </is>
      </c>
      <c r="BC751" t="inlineStr">
        <is>
          <t>32285005152052</t>
        </is>
      </c>
      <c r="BD751" t="inlineStr">
        <is>
          <t>893776315</t>
        </is>
      </c>
    </row>
    <row r="752">
      <c r="A752" t="inlineStr">
        <is>
          <t>No</t>
        </is>
      </c>
      <c r="B752" t="inlineStr">
        <is>
          <t>BV4740 .B74 2005</t>
        </is>
      </c>
      <c r="C752" t="inlineStr">
        <is>
          <t>0                      BV 4740000B  74          2005</t>
        </is>
      </c>
      <c r="D752" t="inlineStr">
        <is>
          <t>Live your calling : a practical guide to finding and fulfilling your mission in life / Kevin and Kay Marie Brennfleck.</t>
        </is>
      </c>
      <c r="F752" t="inlineStr">
        <is>
          <t>No</t>
        </is>
      </c>
      <c r="G752" t="inlineStr">
        <is>
          <t>1</t>
        </is>
      </c>
      <c r="H752" t="inlineStr">
        <is>
          <t>No</t>
        </is>
      </c>
      <c r="I752" t="inlineStr">
        <is>
          <t>No</t>
        </is>
      </c>
      <c r="J752" t="inlineStr">
        <is>
          <t>0</t>
        </is>
      </c>
      <c r="K752" t="inlineStr">
        <is>
          <t>Brennfleck, Kevin, 1959-</t>
        </is>
      </c>
      <c r="L752" t="inlineStr">
        <is>
          <t>San Francisco : Jossey-Bass, c2005.</t>
        </is>
      </c>
      <c r="M752" t="inlineStr">
        <is>
          <t>2005</t>
        </is>
      </c>
      <c r="N752" t="inlineStr">
        <is>
          <t>1st ed.</t>
        </is>
      </c>
      <c r="O752" t="inlineStr">
        <is>
          <t>eng</t>
        </is>
      </c>
      <c r="P752" t="inlineStr">
        <is>
          <t>cau</t>
        </is>
      </c>
      <c r="R752" t="inlineStr">
        <is>
          <t xml:space="preserve">BV </t>
        </is>
      </c>
      <c r="S752" t="n">
        <v>4</v>
      </c>
      <c r="T752" t="n">
        <v>4</v>
      </c>
      <c r="U752" t="inlineStr">
        <is>
          <t>2009-10-09</t>
        </is>
      </c>
      <c r="V752" t="inlineStr">
        <is>
          <t>2009-10-09</t>
        </is>
      </c>
      <c r="W752" t="inlineStr">
        <is>
          <t>2007-02-20</t>
        </is>
      </c>
      <c r="X752" t="inlineStr">
        <is>
          <t>2007-02-20</t>
        </is>
      </c>
      <c r="Y752" t="n">
        <v>134</v>
      </c>
      <c r="Z752" t="n">
        <v>119</v>
      </c>
      <c r="AA752" t="n">
        <v>119</v>
      </c>
      <c r="AB752" t="n">
        <v>2</v>
      </c>
      <c r="AC752" t="n">
        <v>2</v>
      </c>
      <c r="AD752" t="n">
        <v>5</v>
      </c>
      <c r="AE752" t="n">
        <v>5</v>
      </c>
      <c r="AF752" t="n">
        <v>4</v>
      </c>
      <c r="AG752" t="n">
        <v>4</v>
      </c>
      <c r="AH752" t="n">
        <v>1</v>
      </c>
      <c r="AI752" t="n">
        <v>1</v>
      </c>
      <c r="AJ752" t="n">
        <v>2</v>
      </c>
      <c r="AK752" t="n">
        <v>2</v>
      </c>
      <c r="AL752" t="n">
        <v>0</v>
      </c>
      <c r="AM752" t="n">
        <v>0</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HYPERLINK("https://creighton-primo.hosted.exlibrisgroup.com/primo-explore/search?tab=default_tab&amp;search_scope=EVERYTHING&amp;vid=01CRU&amp;lang=en_US&amp;offset=0&amp;query=any,contains,991005032539702656","Catalog Record")</f>
        <v/>
      </c>
      <c r="AT752">
        <f>HYPERLINK("http://www.worldcat.org/oclc/55797761","WorldCat Record")</f>
        <v/>
      </c>
      <c r="AU752" t="inlineStr">
        <is>
          <t>3374390695:eng</t>
        </is>
      </c>
      <c r="AV752" t="inlineStr">
        <is>
          <t>55797761</t>
        </is>
      </c>
      <c r="AW752" t="inlineStr">
        <is>
          <t>991005032539702656</t>
        </is>
      </c>
      <c r="AX752" t="inlineStr">
        <is>
          <t>991005032539702656</t>
        </is>
      </c>
      <c r="AY752" t="inlineStr">
        <is>
          <t>2271919090002656</t>
        </is>
      </c>
      <c r="AZ752" t="inlineStr">
        <is>
          <t>BOOK</t>
        </is>
      </c>
      <c r="BB752" t="inlineStr">
        <is>
          <t>9780787968953</t>
        </is>
      </c>
      <c r="BC752" t="inlineStr">
        <is>
          <t>32285005277610</t>
        </is>
      </c>
      <c r="BD752" t="inlineStr">
        <is>
          <t>893326071</t>
        </is>
      </c>
    </row>
    <row r="753">
      <c r="A753" t="inlineStr">
        <is>
          <t>No</t>
        </is>
      </c>
      <c r="B753" t="inlineStr">
        <is>
          <t>BV4740 .B76 2006</t>
        </is>
      </c>
      <c r="C753" t="inlineStr">
        <is>
          <t>0                      BV 4740000B  76          2006</t>
        </is>
      </c>
      <c r="D753" t="inlineStr">
        <is>
          <t>What am I supposed to do with my life? : asking the right questions / Douglas J. Brouwer.</t>
        </is>
      </c>
      <c r="F753" t="inlineStr">
        <is>
          <t>No</t>
        </is>
      </c>
      <c r="G753" t="inlineStr">
        <is>
          <t>1</t>
        </is>
      </c>
      <c r="H753" t="inlineStr">
        <is>
          <t>No</t>
        </is>
      </c>
      <c r="I753" t="inlineStr">
        <is>
          <t>No</t>
        </is>
      </c>
      <c r="J753" t="inlineStr">
        <is>
          <t>0</t>
        </is>
      </c>
      <c r="K753" t="inlineStr">
        <is>
          <t>Brouwer, Douglas J.</t>
        </is>
      </c>
      <c r="L753" t="inlineStr">
        <is>
          <t>Grand Rapids, Mich. : William B. Eerdmans Pub. Co., c2006.</t>
        </is>
      </c>
      <c r="M753" t="inlineStr">
        <is>
          <t>2006</t>
        </is>
      </c>
      <c r="O753" t="inlineStr">
        <is>
          <t>eng</t>
        </is>
      </c>
      <c r="P753" t="inlineStr">
        <is>
          <t>miu</t>
        </is>
      </c>
      <c r="R753" t="inlineStr">
        <is>
          <t xml:space="preserve">BV </t>
        </is>
      </c>
      <c r="S753" t="n">
        <v>4</v>
      </c>
      <c r="T753" t="n">
        <v>4</v>
      </c>
      <c r="U753" t="inlineStr">
        <is>
          <t>2009-12-02</t>
        </is>
      </c>
      <c r="V753" t="inlineStr">
        <is>
          <t>2009-12-02</t>
        </is>
      </c>
      <c r="W753" t="inlineStr">
        <is>
          <t>2007-05-15</t>
        </is>
      </c>
      <c r="X753" t="inlineStr">
        <is>
          <t>2007-05-15</t>
        </is>
      </c>
      <c r="Y753" t="n">
        <v>125</v>
      </c>
      <c r="Z753" t="n">
        <v>107</v>
      </c>
      <c r="AA753" t="n">
        <v>108</v>
      </c>
      <c r="AB753" t="n">
        <v>2</v>
      </c>
      <c r="AC753" t="n">
        <v>2</v>
      </c>
      <c r="AD753" t="n">
        <v>9</v>
      </c>
      <c r="AE753" t="n">
        <v>9</v>
      </c>
      <c r="AF753" t="n">
        <v>3</v>
      </c>
      <c r="AG753" t="n">
        <v>3</v>
      </c>
      <c r="AH753" t="n">
        <v>4</v>
      </c>
      <c r="AI753" t="n">
        <v>4</v>
      </c>
      <c r="AJ753" t="n">
        <v>3</v>
      </c>
      <c r="AK753" t="n">
        <v>3</v>
      </c>
      <c r="AL753" t="n">
        <v>1</v>
      </c>
      <c r="AM753" t="n">
        <v>1</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HYPERLINK("https://creighton-primo.hosted.exlibrisgroup.com/primo-explore/search?tab=default_tab&amp;search_scope=EVERYTHING&amp;vid=01CRU&amp;lang=en_US&amp;offset=0&amp;query=any,contains,991005080069702656","Catalog Record")</f>
        <v/>
      </c>
      <c r="AT753">
        <f>HYPERLINK("http://www.worldcat.org/oclc/64065844","WorldCat Record")</f>
        <v/>
      </c>
      <c r="AU753" t="inlineStr">
        <is>
          <t>10624533007:eng</t>
        </is>
      </c>
      <c r="AV753" t="inlineStr">
        <is>
          <t>64065844</t>
        </is>
      </c>
      <c r="AW753" t="inlineStr">
        <is>
          <t>991005080069702656</t>
        </is>
      </c>
      <c r="AX753" t="inlineStr">
        <is>
          <t>991005080069702656</t>
        </is>
      </c>
      <c r="AY753" t="inlineStr">
        <is>
          <t>2269005870002656</t>
        </is>
      </c>
      <c r="AZ753" t="inlineStr">
        <is>
          <t>BOOK</t>
        </is>
      </c>
      <c r="BB753" t="inlineStr">
        <is>
          <t>9780802829610</t>
        </is>
      </c>
      <c r="BC753" t="inlineStr">
        <is>
          <t>32285005312847</t>
        </is>
      </c>
      <c r="BD753" t="inlineStr">
        <is>
          <t>893507574</t>
        </is>
      </c>
    </row>
    <row r="754">
      <c r="A754" t="inlineStr">
        <is>
          <t>No</t>
        </is>
      </c>
      <c r="B754" t="inlineStr">
        <is>
          <t>BV4740 .C66 2006</t>
        </is>
      </c>
      <c r="C754" t="inlineStr">
        <is>
          <t>0                      BV 4740000C  66          2006</t>
        </is>
      </c>
      <c r="D754" t="inlineStr">
        <is>
          <t>The listening heart : vocation and the crisis of modern culture / A. J. Conyers.</t>
        </is>
      </c>
      <c r="F754" t="inlineStr">
        <is>
          <t>No</t>
        </is>
      </c>
      <c r="G754" t="inlineStr">
        <is>
          <t>1</t>
        </is>
      </c>
      <c r="H754" t="inlineStr">
        <is>
          <t>No</t>
        </is>
      </c>
      <c r="I754" t="inlineStr">
        <is>
          <t>No</t>
        </is>
      </c>
      <c r="J754" t="inlineStr">
        <is>
          <t>0</t>
        </is>
      </c>
      <c r="K754" t="inlineStr">
        <is>
          <t>Conyers, A. J., 1944-</t>
        </is>
      </c>
      <c r="L754" t="inlineStr">
        <is>
          <t>Dallas, Tex. : Spence Publishing Co., 2006.</t>
        </is>
      </c>
      <c r="M754" t="inlineStr">
        <is>
          <t>2006</t>
        </is>
      </c>
      <c r="O754" t="inlineStr">
        <is>
          <t>eng</t>
        </is>
      </c>
      <c r="P754" t="inlineStr">
        <is>
          <t>txu</t>
        </is>
      </c>
      <c r="R754" t="inlineStr">
        <is>
          <t xml:space="preserve">BV </t>
        </is>
      </c>
      <c r="S754" t="n">
        <v>4</v>
      </c>
      <c r="T754" t="n">
        <v>4</v>
      </c>
      <c r="U754" t="inlineStr">
        <is>
          <t>2007-03-21</t>
        </is>
      </c>
      <c r="V754" t="inlineStr">
        <is>
          <t>2007-03-21</t>
        </is>
      </c>
      <c r="W754" t="inlineStr">
        <is>
          <t>2007-01-31</t>
        </is>
      </c>
      <c r="X754" t="inlineStr">
        <is>
          <t>2007-01-31</t>
        </is>
      </c>
      <c r="Y754" t="n">
        <v>213</v>
      </c>
      <c r="Z754" t="n">
        <v>202</v>
      </c>
      <c r="AA754" t="n">
        <v>245</v>
      </c>
      <c r="AB754" t="n">
        <v>3</v>
      </c>
      <c r="AC754" t="n">
        <v>3</v>
      </c>
      <c r="AD754" t="n">
        <v>6</v>
      </c>
      <c r="AE754" t="n">
        <v>8</v>
      </c>
      <c r="AF754" t="n">
        <v>3</v>
      </c>
      <c r="AG754" t="n">
        <v>4</v>
      </c>
      <c r="AH754" t="n">
        <v>1</v>
      </c>
      <c r="AI754" t="n">
        <v>1</v>
      </c>
      <c r="AJ754" t="n">
        <v>2</v>
      </c>
      <c r="AK754" t="n">
        <v>3</v>
      </c>
      <c r="AL754" t="n">
        <v>1</v>
      </c>
      <c r="AM754" t="n">
        <v>1</v>
      </c>
      <c r="AN754" t="n">
        <v>0</v>
      </c>
      <c r="AO754" t="n">
        <v>0</v>
      </c>
      <c r="AP754" t="inlineStr">
        <is>
          <t>No</t>
        </is>
      </c>
      <c r="AQ754" t="inlineStr">
        <is>
          <t>Yes</t>
        </is>
      </c>
      <c r="AR754">
        <f>HYPERLINK("http://catalog.hathitrust.org/Record/007049315","HathiTrust Record")</f>
        <v/>
      </c>
      <c r="AS754">
        <f>HYPERLINK("https://creighton-primo.hosted.exlibrisgroup.com/primo-explore/search?tab=default_tab&amp;search_scope=EVERYTHING&amp;vid=01CRU&amp;lang=en_US&amp;offset=0&amp;query=any,contains,991005005449702656","Catalog Record")</f>
        <v/>
      </c>
      <c r="AT754">
        <f>HYPERLINK("http://www.worldcat.org/oclc/77570329","WorldCat Record")</f>
        <v/>
      </c>
      <c r="AU754" t="inlineStr">
        <is>
          <t>198927148:eng</t>
        </is>
      </c>
      <c r="AV754" t="inlineStr">
        <is>
          <t>77570329</t>
        </is>
      </c>
      <c r="AW754" t="inlineStr">
        <is>
          <t>991005005449702656</t>
        </is>
      </c>
      <c r="AX754" t="inlineStr">
        <is>
          <t>991005005449702656</t>
        </is>
      </c>
      <c r="AY754" t="inlineStr">
        <is>
          <t>2265142440002656</t>
        </is>
      </c>
      <c r="AZ754" t="inlineStr">
        <is>
          <t>BOOK</t>
        </is>
      </c>
      <c r="BB754" t="inlineStr">
        <is>
          <t>9781890626686</t>
        </is>
      </c>
      <c r="BC754" t="inlineStr">
        <is>
          <t>32285005273981</t>
        </is>
      </c>
      <c r="BD754" t="inlineStr">
        <is>
          <t>893332266</t>
        </is>
      </c>
    </row>
    <row r="755">
      <c r="A755" t="inlineStr">
        <is>
          <t>No</t>
        </is>
      </c>
      <c r="B755" t="inlineStr">
        <is>
          <t>BV4740 .D35 2006</t>
        </is>
      </c>
      <c r="C755" t="inlineStr">
        <is>
          <t>0                      BV 4740000D  35          2006</t>
        </is>
      </c>
      <c r="D755" t="inlineStr">
        <is>
          <t>Companions in Christ : a small-group experience in spiritual formation : participant's book. Volume 4, Responding to our call / Gerrit Scott Dawson.</t>
        </is>
      </c>
      <c r="F755" t="inlineStr">
        <is>
          <t>No</t>
        </is>
      </c>
      <c r="G755" t="inlineStr">
        <is>
          <t>1</t>
        </is>
      </c>
      <c r="H755" t="inlineStr">
        <is>
          <t>No</t>
        </is>
      </c>
      <c r="I755" t="inlineStr">
        <is>
          <t>No</t>
        </is>
      </c>
      <c r="J755" t="inlineStr">
        <is>
          <t>0</t>
        </is>
      </c>
      <c r="K755" t="inlineStr">
        <is>
          <t>Dawson, Gerrit Scott.</t>
        </is>
      </c>
      <c r="L755" t="inlineStr">
        <is>
          <t>Nashville : Upper Room Books, c2006.</t>
        </is>
      </c>
      <c r="M755" t="inlineStr">
        <is>
          <t>2006</t>
        </is>
      </c>
      <c r="O755" t="inlineStr">
        <is>
          <t>eng</t>
        </is>
      </c>
      <c r="P755" t="inlineStr">
        <is>
          <t>tnu</t>
        </is>
      </c>
      <c r="R755" t="inlineStr">
        <is>
          <t xml:space="preserve">BV </t>
        </is>
      </c>
      <c r="S755" t="n">
        <v>5</v>
      </c>
      <c r="T755" t="n">
        <v>5</v>
      </c>
      <c r="U755" t="inlineStr">
        <is>
          <t>2008-02-08</t>
        </is>
      </c>
      <c r="V755" t="inlineStr">
        <is>
          <t>2008-02-08</t>
        </is>
      </c>
      <c r="W755" t="inlineStr">
        <is>
          <t>2007-06-05</t>
        </is>
      </c>
      <c r="X755" t="inlineStr">
        <is>
          <t>2007-06-05</t>
        </is>
      </c>
      <c r="Y755" t="n">
        <v>9</v>
      </c>
      <c r="Z755" t="n">
        <v>9</v>
      </c>
      <c r="AA755" t="n">
        <v>60</v>
      </c>
      <c r="AB755" t="n">
        <v>1</v>
      </c>
      <c r="AC755" t="n">
        <v>1</v>
      </c>
      <c r="AD755" t="n">
        <v>0</v>
      </c>
      <c r="AE755" t="n">
        <v>4</v>
      </c>
      <c r="AF755" t="n">
        <v>0</v>
      </c>
      <c r="AG755" t="n">
        <v>3</v>
      </c>
      <c r="AH755" t="n">
        <v>0</v>
      </c>
      <c r="AI755" t="n">
        <v>1</v>
      </c>
      <c r="AJ755" t="n">
        <v>0</v>
      </c>
      <c r="AK755" t="n">
        <v>0</v>
      </c>
      <c r="AL755" t="n">
        <v>0</v>
      </c>
      <c r="AM755" t="n">
        <v>0</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HYPERLINK("https://creighton-primo.hosted.exlibrisgroup.com/primo-explore/search?tab=default_tab&amp;search_scope=EVERYTHING&amp;vid=01CRU&amp;lang=en_US&amp;offset=0&amp;query=any,contains,991005079059702656","Catalog Record")</f>
        <v/>
      </c>
      <c r="AT755">
        <f>HYPERLINK("http://www.worldcat.org/oclc/62741371","WorldCat Record")</f>
        <v/>
      </c>
      <c r="AU755" t="inlineStr">
        <is>
          <t>34100032:eng</t>
        </is>
      </c>
      <c r="AV755" t="inlineStr">
        <is>
          <t>62741371</t>
        </is>
      </c>
      <c r="AW755" t="inlineStr">
        <is>
          <t>991005079059702656</t>
        </is>
      </c>
      <c r="AX755" t="inlineStr">
        <is>
          <t>991005079059702656</t>
        </is>
      </c>
      <c r="AY755" t="inlineStr">
        <is>
          <t>2256782160002656</t>
        </is>
      </c>
      <c r="AZ755" t="inlineStr">
        <is>
          <t>BOOK</t>
        </is>
      </c>
      <c r="BB755" t="inlineStr">
        <is>
          <t>9780835898331</t>
        </is>
      </c>
      <c r="BC755" t="inlineStr">
        <is>
          <t>32285005315378</t>
        </is>
      </c>
      <c r="BD755" t="inlineStr">
        <is>
          <t>893338466</t>
        </is>
      </c>
    </row>
    <row r="756">
      <c r="A756" t="inlineStr">
        <is>
          <t>No</t>
        </is>
      </c>
      <c r="B756" t="inlineStr">
        <is>
          <t>BV4740 .G75 2003</t>
        </is>
      </c>
      <c r="C756" t="inlineStr">
        <is>
          <t>0                      BV 4740000G  75          2003</t>
        </is>
      </c>
      <c r="D756" t="inlineStr">
        <is>
          <t>Personal vocation : God calls everyone by name / Germain Grisez, Russell Shaw.</t>
        </is>
      </c>
      <c r="F756" t="inlineStr">
        <is>
          <t>No</t>
        </is>
      </c>
      <c r="G756" t="inlineStr">
        <is>
          <t>1</t>
        </is>
      </c>
      <c r="H756" t="inlineStr">
        <is>
          <t>No</t>
        </is>
      </c>
      <c r="I756" t="inlineStr">
        <is>
          <t>No</t>
        </is>
      </c>
      <c r="J756" t="inlineStr">
        <is>
          <t>0</t>
        </is>
      </c>
      <c r="K756" t="inlineStr">
        <is>
          <t>Grisez, Germain Gabriel, 1929-2018.</t>
        </is>
      </c>
      <c r="L756" t="inlineStr">
        <is>
          <t>Huntington, Ind. : Our Sunday Visitor Pub. Division, c2003.</t>
        </is>
      </c>
      <c r="M756" t="inlineStr">
        <is>
          <t>2003</t>
        </is>
      </c>
      <c r="O756" t="inlineStr">
        <is>
          <t>eng</t>
        </is>
      </c>
      <c r="P756" t="inlineStr">
        <is>
          <t>inu</t>
        </is>
      </c>
      <c r="R756" t="inlineStr">
        <is>
          <t xml:space="preserve">BV </t>
        </is>
      </c>
      <c r="S756" t="n">
        <v>9</v>
      </c>
      <c r="T756" t="n">
        <v>9</v>
      </c>
      <c r="U756" t="inlineStr">
        <is>
          <t>2007-09-06</t>
        </is>
      </c>
      <c r="V756" t="inlineStr">
        <is>
          <t>2007-09-06</t>
        </is>
      </c>
      <c r="W756" t="inlineStr">
        <is>
          <t>2004-11-08</t>
        </is>
      </c>
      <c r="X756" t="inlineStr">
        <is>
          <t>2004-11-08</t>
        </is>
      </c>
      <c r="Y756" t="n">
        <v>52</v>
      </c>
      <c r="Z756" t="n">
        <v>41</v>
      </c>
      <c r="AA756" t="n">
        <v>41</v>
      </c>
      <c r="AB756" t="n">
        <v>1</v>
      </c>
      <c r="AC756" t="n">
        <v>1</v>
      </c>
      <c r="AD756" t="n">
        <v>6</v>
      </c>
      <c r="AE756" t="n">
        <v>6</v>
      </c>
      <c r="AF756" t="n">
        <v>1</v>
      </c>
      <c r="AG756" t="n">
        <v>1</v>
      </c>
      <c r="AH756" t="n">
        <v>2</v>
      </c>
      <c r="AI756" t="n">
        <v>2</v>
      </c>
      <c r="AJ756" t="n">
        <v>5</v>
      </c>
      <c r="AK756" t="n">
        <v>5</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HYPERLINK("https://creighton-primo.hosted.exlibrisgroup.com/primo-explore/search?tab=default_tab&amp;search_scope=EVERYTHING&amp;vid=01CRU&amp;lang=en_US&amp;offset=0&amp;query=any,contains,991004287019702656","Catalog Record")</f>
        <v/>
      </c>
      <c r="AT756">
        <f>HYPERLINK("http://www.worldcat.org/oclc/53897628","WorldCat Record")</f>
        <v/>
      </c>
      <c r="AU756" t="inlineStr">
        <is>
          <t>3754447430:eng</t>
        </is>
      </c>
      <c r="AV756" t="inlineStr">
        <is>
          <t>53897628</t>
        </is>
      </c>
      <c r="AW756" t="inlineStr">
        <is>
          <t>991004287019702656</t>
        </is>
      </c>
      <c r="AX756" t="inlineStr">
        <is>
          <t>991004287019702656</t>
        </is>
      </c>
      <c r="AY756" t="inlineStr">
        <is>
          <t>2271466950002656</t>
        </is>
      </c>
      <c r="AZ756" t="inlineStr">
        <is>
          <t>BOOK</t>
        </is>
      </c>
      <c r="BB756" t="inlineStr">
        <is>
          <t>9781592760213</t>
        </is>
      </c>
      <c r="BC756" t="inlineStr">
        <is>
          <t>32285005009245</t>
        </is>
      </c>
      <c r="BD756" t="inlineStr">
        <is>
          <t>893500374</t>
        </is>
      </c>
    </row>
    <row r="757">
      <c r="A757" t="inlineStr">
        <is>
          <t>No</t>
        </is>
      </c>
      <c r="B757" t="inlineStr">
        <is>
          <t>BV4740 .G85 2003</t>
        </is>
      </c>
      <c r="C757" t="inlineStr">
        <is>
          <t>0                      BV 4740000G  85          2003</t>
        </is>
      </c>
      <c r="D757" t="inlineStr">
        <is>
          <t>The call : finding and fulfilling the central purpose of your life / Os Guinness.</t>
        </is>
      </c>
      <c r="F757" t="inlineStr">
        <is>
          <t>No</t>
        </is>
      </c>
      <c r="G757" t="inlineStr">
        <is>
          <t>1</t>
        </is>
      </c>
      <c r="H757" t="inlineStr">
        <is>
          <t>No</t>
        </is>
      </c>
      <c r="I757" t="inlineStr">
        <is>
          <t>No</t>
        </is>
      </c>
      <c r="J757" t="inlineStr">
        <is>
          <t>0</t>
        </is>
      </c>
      <c r="K757" t="inlineStr">
        <is>
          <t>Guinness, Os.</t>
        </is>
      </c>
      <c r="L757" t="inlineStr">
        <is>
          <t>Nashville, Tenn. : W Pub. Group, c2003.</t>
        </is>
      </c>
      <c r="M757" t="inlineStr">
        <is>
          <t>2003</t>
        </is>
      </c>
      <c r="O757" t="inlineStr">
        <is>
          <t>eng</t>
        </is>
      </c>
      <c r="P757" t="inlineStr">
        <is>
          <t>tnu</t>
        </is>
      </c>
      <c r="R757" t="inlineStr">
        <is>
          <t xml:space="preserve">BV </t>
        </is>
      </c>
      <c r="S757" t="n">
        <v>1</v>
      </c>
      <c r="T757" t="n">
        <v>1</v>
      </c>
      <c r="U757" t="inlineStr">
        <is>
          <t>2007-05-23</t>
        </is>
      </c>
      <c r="V757" t="inlineStr">
        <is>
          <t>2007-05-23</t>
        </is>
      </c>
      <c r="W757" t="inlineStr">
        <is>
          <t>2007-05-23</t>
        </is>
      </c>
      <c r="X757" t="inlineStr">
        <is>
          <t>2007-05-23</t>
        </is>
      </c>
      <c r="Y757" t="n">
        <v>156</v>
      </c>
      <c r="Z757" t="n">
        <v>145</v>
      </c>
      <c r="AA757" t="n">
        <v>432</v>
      </c>
      <c r="AB757" t="n">
        <v>3</v>
      </c>
      <c r="AC757" t="n">
        <v>4</v>
      </c>
      <c r="AD757" t="n">
        <v>6</v>
      </c>
      <c r="AE757" t="n">
        <v>9</v>
      </c>
      <c r="AF757" t="n">
        <v>2</v>
      </c>
      <c r="AG757" t="n">
        <v>5</v>
      </c>
      <c r="AH757" t="n">
        <v>2</v>
      </c>
      <c r="AI757" t="n">
        <v>2</v>
      </c>
      <c r="AJ757" t="n">
        <v>2</v>
      </c>
      <c r="AK757" t="n">
        <v>2</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HYPERLINK("https://creighton-primo.hosted.exlibrisgroup.com/primo-explore/search?tab=default_tab&amp;search_scope=EVERYTHING&amp;vid=01CRU&amp;lang=en_US&amp;offset=0&amp;query=any,contains,991005079809702656","Catalog Record")</f>
        <v/>
      </c>
      <c r="AT757">
        <f>HYPERLINK("http://www.worldcat.org/oclc/52429448","WorldCat Record")</f>
        <v/>
      </c>
      <c r="AU757" t="inlineStr">
        <is>
          <t>635438:eng</t>
        </is>
      </c>
      <c r="AV757" t="inlineStr">
        <is>
          <t>52429448</t>
        </is>
      </c>
      <c r="AW757" t="inlineStr">
        <is>
          <t>991005079809702656</t>
        </is>
      </c>
      <c r="AX757" t="inlineStr">
        <is>
          <t>991005079809702656</t>
        </is>
      </c>
      <c r="AY757" t="inlineStr">
        <is>
          <t>2261361360002656</t>
        </is>
      </c>
      <c r="AZ757" t="inlineStr">
        <is>
          <t>BOOK</t>
        </is>
      </c>
      <c r="BB757" t="inlineStr">
        <is>
          <t>9780849944376</t>
        </is>
      </c>
      <c r="BC757" t="inlineStr">
        <is>
          <t>32285005314231</t>
        </is>
      </c>
      <c r="BD757" t="inlineStr">
        <is>
          <t>893526861</t>
        </is>
      </c>
    </row>
    <row r="758">
      <c r="A758" t="inlineStr">
        <is>
          <t>No</t>
        </is>
      </c>
      <c r="B758" t="inlineStr">
        <is>
          <t>BV4740 .H563 2001</t>
        </is>
      </c>
      <c r="C758" t="inlineStr">
        <is>
          <t>0                      BV 4740000H  563         2001</t>
        </is>
      </c>
      <c r="D758" t="inlineStr">
        <is>
          <t>Career and calling : a guide for counselors, youth, and young adults / Ginny Ward Holderness with Forrest C. Palmer, Jr.</t>
        </is>
      </c>
      <c r="F758" t="inlineStr">
        <is>
          <t>No</t>
        </is>
      </c>
      <c r="G758" t="inlineStr">
        <is>
          <t>1</t>
        </is>
      </c>
      <c r="H758" t="inlineStr">
        <is>
          <t>No</t>
        </is>
      </c>
      <c r="I758" t="inlineStr">
        <is>
          <t>No</t>
        </is>
      </c>
      <c r="J758" t="inlineStr">
        <is>
          <t>0</t>
        </is>
      </c>
      <c r="K758" t="inlineStr">
        <is>
          <t>Holderness, Ginny Ward, 1946-</t>
        </is>
      </c>
      <c r="L758" t="inlineStr">
        <is>
          <t>Louisville, Ky. : Geneva Press, c2001.</t>
        </is>
      </c>
      <c r="M758" t="inlineStr">
        <is>
          <t>2001</t>
        </is>
      </c>
      <c r="N758" t="inlineStr">
        <is>
          <t>1st ed.</t>
        </is>
      </c>
      <c r="O758" t="inlineStr">
        <is>
          <t>eng</t>
        </is>
      </c>
      <c r="P758" t="inlineStr">
        <is>
          <t>kyu</t>
        </is>
      </c>
      <c r="R758" t="inlineStr">
        <is>
          <t xml:space="preserve">BV </t>
        </is>
      </c>
      <c r="S758" t="n">
        <v>2</v>
      </c>
      <c r="T758" t="n">
        <v>2</v>
      </c>
      <c r="U758" t="inlineStr">
        <is>
          <t>2004-05-03</t>
        </is>
      </c>
      <c r="V758" t="inlineStr">
        <is>
          <t>2004-05-03</t>
        </is>
      </c>
      <c r="W758" t="inlineStr">
        <is>
          <t>2004-05-03</t>
        </is>
      </c>
      <c r="X758" t="inlineStr">
        <is>
          <t>2004-05-03</t>
        </is>
      </c>
      <c r="Y758" t="n">
        <v>94</v>
      </c>
      <c r="Z758" t="n">
        <v>87</v>
      </c>
      <c r="AA758" t="n">
        <v>88</v>
      </c>
      <c r="AB758" t="n">
        <v>2</v>
      </c>
      <c r="AC758" t="n">
        <v>2</v>
      </c>
      <c r="AD758" t="n">
        <v>5</v>
      </c>
      <c r="AE758" t="n">
        <v>5</v>
      </c>
      <c r="AF758" t="n">
        <v>2</v>
      </c>
      <c r="AG758" t="n">
        <v>2</v>
      </c>
      <c r="AH758" t="n">
        <v>1</v>
      </c>
      <c r="AI758" t="n">
        <v>1</v>
      </c>
      <c r="AJ758" t="n">
        <v>3</v>
      </c>
      <c r="AK758" t="n">
        <v>3</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HYPERLINK("https://creighton-primo.hosted.exlibrisgroup.com/primo-explore/search?tab=default_tab&amp;search_scope=EVERYTHING&amp;vid=01CRU&amp;lang=en_US&amp;offset=0&amp;query=any,contains,991004286679702656","Catalog Record")</f>
        <v/>
      </c>
      <c r="AT758">
        <f>HYPERLINK("http://www.worldcat.org/oclc/44669760","WorldCat Record")</f>
        <v/>
      </c>
      <c r="AU758" t="inlineStr">
        <is>
          <t>2674032:eng</t>
        </is>
      </c>
      <c r="AV758" t="inlineStr">
        <is>
          <t>44669760</t>
        </is>
      </c>
      <c r="AW758" t="inlineStr">
        <is>
          <t>991004286679702656</t>
        </is>
      </c>
      <c r="AX758" t="inlineStr">
        <is>
          <t>991004286679702656</t>
        </is>
      </c>
      <c r="AY758" t="inlineStr">
        <is>
          <t>2267833430002656</t>
        </is>
      </c>
      <c r="AZ758" t="inlineStr">
        <is>
          <t>BOOK</t>
        </is>
      </c>
      <c r="BB758" t="inlineStr">
        <is>
          <t>9780664222321</t>
        </is>
      </c>
      <c r="BC758" t="inlineStr">
        <is>
          <t>32285004903059</t>
        </is>
      </c>
      <c r="BD758" t="inlineStr">
        <is>
          <t>893806877</t>
        </is>
      </c>
    </row>
    <row r="759">
      <c r="A759" t="inlineStr">
        <is>
          <t>No</t>
        </is>
      </c>
      <c r="B759" t="inlineStr">
        <is>
          <t>BV4740 .J46 1990</t>
        </is>
      </c>
      <c r="C759" t="inlineStr">
        <is>
          <t>0                      BV 4740000J  46          1990</t>
        </is>
      </c>
      <c r="D759" t="inlineStr">
        <is>
          <t>Shattered vocations / Mark Jensen.</t>
        </is>
      </c>
      <c r="F759" t="inlineStr">
        <is>
          <t>No</t>
        </is>
      </c>
      <c r="G759" t="inlineStr">
        <is>
          <t>1</t>
        </is>
      </c>
      <c r="H759" t="inlineStr">
        <is>
          <t>No</t>
        </is>
      </c>
      <c r="I759" t="inlineStr">
        <is>
          <t>No</t>
        </is>
      </c>
      <c r="J759" t="inlineStr">
        <is>
          <t>0</t>
        </is>
      </c>
      <c r="K759" t="inlineStr">
        <is>
          <t>Jensen, Mark, 1956-</t>
        </is>
      </c>
      <c r="L759" t="inlineStr">
        <is>
          <t>Nashville, Tenn. : Broadman Press, c1990.</t>
        </is>
      </c>
      <c r="M759" t="inlineStr">
        <is>
          <t>1990</t>
        </is>
      </c>
      <c r="O759" t="inlineStr">
        <is>
          <t>eng</t>
        </is>
      </c>
      <c r="P759" t="inlineStr">
        <is>
          <t>tnu</t>
        </is>
      </c>
      <c r="Q759" t="inlineStr">
        <is>
          <t>[The Bible and personal crisis]</t>
        </is>
      </c>
      <c r="R759" t="inlineStr">
        <is>
          <t xml:space="preserve">BV </t>
        </is>
      </c>
      <c r="S759" t="n">
        <v>5</v>
      </c>
      <c r="T759" t="n">
        <v>5</v>
      </c>
      <c r="U759" t="inlineStr">
        <is>
          <t>2008-10-15</t>
        </is>
      </c>
      <c r="V759" t="inlineStr">
        <is>
          <t>2008-10-15</t>
        </is>
      </c>
      <c r="W759" t="inlineStr">
        <is>
          <t>2007-05-15</t>
        </is>
      </c>
      <c r="X759" t="inlineStr">
        <is>
          <t>2007-05-15</t>
        </is>
      </c>
      <c r="Y759" t="n">
        <v>63</v>
      </c>
      <c r="Z759" t="n">
        <v>57</v>
      </c>
      <c r="AA759" t="n">
        <v>57</v>
      </c>
      <c r="AB759" t="n">
        <v>1</v>
      </c>
      <c r="AC759" t="n">
        <v>1</v>
      </c>
      <c r="AD759" t="n">
        <v>2</v>
      </c>
      <c r="AE759" t="n">
        <v>2</v>
      </c>
      <c r="AF759" t="n">
        <v>2</v>
      </c>
      <c r="AG759" t="n">
        <v>2</v>
      </c>
      <c r="AH759" t="n">
        <v>0</v>
      </c>
      <c r="AI759" t="n">
        <v>0</v>
      </c>
      <c r="AJ759" t="n">
        <v>0</v>
      </c>
      <c r="AK759" t="n">
        <v>0</v>
      </c>
      <c r="AL759" t="n">
        <v>0</v>
      </c>
      <c r="AM759" t="n">
        <v>0</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HYPERLINK("https://creighton-primo.hosted.exlibrisgroup.com/primo-explore/search?tab=default_tab&amp;search_scope=EVERYTHING&amp;vid=01CRU&amp;lang=en_US&amp;offset=0&amp;query=any,contains,991005079619702656","Catalog Record")</f>
        <v/>
      </c>
      <c r="AT759">
        <f>HYPERLINK("http://www.worldcat.org/oclc/20524610","WorldCat Record")</f>
        <v/>
      </c>
      <c r="AU759" t="inlineStr">
        <is>
          <t>22383832:eng</t>
        </is>
      </c>
      <c r="AV759" t="inlineStr">
        <is>
          <t>20524610</t>
        </is>
      </c>
      <c r="AW759" t="inlineStr">
        <is>
          <t>991005079619702656</t>
        </is>
      </c>
      <c r="AX759" t="inlineStr">
        <is>
          <t>991005079619702656</t>
        </is>
      </c>
      <c r="AY759" t="inlineStr">
        <is>
          <t>2270931200002656</t>
        </is>
      </c>
      <c r="AZ759" t="inlineStr">
        <is>
          <t>BOOK</t>
        </is>
      </c>
      <c r="BB759" t="inlineStr">
        <is>
          <t>9780805454475</t>
        </is>
      </c>
      <c r="BC759" t="inlineStr">
        <is>
          <t>32285005312672</t>
        </is>
      </c>
      <c r="BD759" t="inlineStr">
        <is>
          <t>893418338</t>
        </is>
      </c>
    </row>
    <row r="760">
      <c r="A760" t="inlineStr">
        <is>
          <t>No</t>
        </is>
      </c>
      <c r="B760" t="inlineStr">
        <is>
          <t>BV4740 .J66 1996</t>
        </is>
      </c>
      <c r="C760" t="inlineStr">
        <is>
          <t>0                      BV 4740000J  66          1996</t>
        </is>
      </c>
      <c r="D760" t="inlineStr">
        <is>
          <t>The path : creating your mission statement for work and for life / Laurie Beth Jones.</t>
        </is>
      </c>
      <c r="F760" t="inlineStr">
        <is>
          <t>No</t>
        </is>
      </c>
      <c r="G760" t="inlineStr">
        <is>
          <t>1</t>
        </is>
      </c>
      <c r="H760" t="inlineStr">
        <is>
          <t>No</t>
        </is>
      </c>
      <c r="I760" t="inlineStr">
        <is>
          <t>No</t>
        </is>
      </c>
      <c r="J760" t="inlineStr">
        <is>
          <t>0</t>
        </is>
      </c>
      <c r="K760" t="inlineStr">
        <is>
          <t>Jones, Laurie Beth.</t>
        </is>
      </c>
      <c r="L760" t="inlineStr">
        <is>
          <t>New York : Hyperion, c1996.</t>
        </is>
      </c>
      <c r="M760" t="inlineStr">
        <is>
          <t>1996</t>
        </is>
      </c>
      <c r="N760" t="inlineStr">
        <is>
          <t>1st ed.</t>
        </is>
      </c>
      <c r="O760" t="inlineStr">
        <is>
          <t>eng</t>
        </is>
      </c>
      <c r="P760" t="inlineStr">
        <is>
          <t>nyu</t>
        </is>
      </c>
      <c r="R760" t="inlineStr">
        <is>
          <t xml:space="preserve">BV </t>
        </is>
      </c>
      <c r="S760" t="n">
        <v>4</v>
      </c>
      <c r="T760" t="n">
        <v>4</v>
      </c>
      <c r="U760" t="inlineStr">
        <is>
          <t>2008-10-15</t>
        </is>
      </c>
      <c r="V760" t="inlineStr">
        <is>
          <t>2008-10-15</t>
        </is>
      </c>
      <c r="W760" t="inlineStr">
        <is>
          <t>1997-11-20</t>
        </is>
      </c>
      <c r="X760" t="inlineStr">
        <is>
          <t>1997-11-20</t>
        </is>
      </c>
      <c r="Y760" t="n">
        <v>579</v>
      </c>
      <c r="Z760" t="n">
        <v>529</v>
      </c>
      <c r="AA760" t="n">
        <v>567</v>
      </c>
      <c r="AB760" t="n">
        <v>4</v>
      </c>
      <c r="AC760" t="n">
        <v>4</v>
      </c>
      <c r="AD760" t="n">
        <v>5</v>
      </c>
      <c r="AE760" t="n">
        <v>7</v>
      </c>
      <c r="AF760" t="n">
        <v>1</v>
      </c>
      <c r="AG760" t="n">
        <v>2</v>
      </c>
      <c r="AH760" t="n">
        <v>1</v>
      </c>
      <c r="AI760" t="n">
        <v>2</v>
      </c>
      <c r="AJ760" t="n">
        <v>2</v>
      </c>
      <c r="AK760" t="n">
        <v>2</v>
      </c>
      <c r="AL760" t="n">
        <v>1</v>
      </c>
      <c r="AM760" t="n">
        <v>1</v>
      </c>
      <c r="AN760" t="n">
        <v>0</v>
      </c>
      <c r="AO760" t="n">
        <v>0</v>
      </c>
      <c r="AP760" t="inlineStr">
        <is>
          <t>No</t>
        </is>
      </c>
      <c r="AQ760" t="inlineStr">
        <is>
          <t>Yes</t>
        </is>
      </c>
      <c r="AR760">
        <f>HYPERLINK("http://catalog.hathitrust.org/Record/010693280","HathiTrust Record")</f>
        <v/>
      </c>
      <c r="AS760">
        <f>HYPERLINK("https://creighton-primo.hosted.exlibrisgroup.com/primo-explore/search?tab=default_tab&amp;search_scope=EVERYTHING&amp;vid=01CRU&amp;lang=en_US&amp;offset=0&amp;query=any,contains,991002604779702656","Catalog Record")</f>
        <v/>
      </c>
      <c r="AT760">
        <f>HYPERLINK("http://www.worldcat.org/oclc/34116156","WorldCat Record")</f>
        <v/>
      </c>
      <c r="AU760" t="inlineStr">
        <is>
          <t>602484:eng</t>
        </is>
      </c>
      <c r="AV760" t="inlineStr">
        <is>
          <t>34116156</t>
        </is>
      </c>
      <c r="AW760" t="inlineStr">
        <is>
          <t>991002604779702656</t>
        </is>
      </c>
      <c r="AX760" t="inlineStr">
        <is>
          <t>991002604779702656</t>
        </is>
      </c>
      <c r="AY760" t="inlineStr">
        <is>
          <t>2271760730002656</t>
        </is>
      </c>
      <c r="AZ760" t="inlineStr">
        <is>
          <t>BOOK</t>
        </is>
      </c>
      <c r="BB760" t="inlineStr">
        <is>
          <t>9780786862276</t>
        </is>
      </c>
      <c r="BC760" t="inlineStr">
        <is>
          <t>32285003272159</t>
        </is>
      </c>
      <c r="BD760" t="inlineStr">
        <is>
          <t>893239266</t>
        </is>
      </c>
    </row>
    <row r="761">
      <c r="A761" t="inlineStr">
        <is>
          <t>No</t>
        </is>
      </c>
      <c r="B761" t="inlineStr">
        <is>
          <t>BV4740 .L37 2003</t>
        </is>
      </c>
      <c r="C761" t="inlineStr">
        <is>
          <t>0                      BV 4740000L  37          2003</t>
        </is>
      </c>
      <c r="D761" t="inlineStr">
        <is>
          <t>Getting a life : how to find your true vocation / Renée M. LaReau.</t>
        </is>
      </c>
      <c r="F761" t="inlineStr">
        <is>
          <t>No</t>
        </is>
      </c>
      <c r="G761" t="inlineStr">
        <is>
          <t>1</t>
        </is>
      </c>
      <c r="H761" t="inlineStr">
        <is>
          <t>No</t>
        </is>
      </c>
      <c r="I761" t="inlineStr">
        <is>
          <t>No</t>
        </is>
      </c>
      <c r="J761" t="inlineStr">
        <is>
          <t>0</t>
        </is>
      </c>
      <c r="K761" t="inlineStr">
        <is>
          <t>LaReau, Renée M.</t>
        </is>
      </c>
      <c r="L761" t="inlineStr">
        <is>
          <t>Maryknoll, N.Y. : Orbis Books, c2003.</t>
        </is>
      </c>
      <c r="M761" t="inlineStr">
        <is>
          <t>2003</t>
        </is>
      </c>
      <c r="O761" t="inlineStr">
        <is>
          <t>eng</t>
        </is>
      </c>
      <c r="P761" t="inlineStr">
        <is>
          <t>nyu</t>
        </is>
      </c>
      <c r="R761" t="inlineStr">
        <is>
          <t xml:space="preserve">BV </t>
        </is>
      </c>
      <c r="S761" t="n">
        <v>8</v>
      </c>
      <c r="T761" t="n">
        <v>8</v>
      </c>
      <c r="U761" t="inlineStr">
        <is>
          <t>2007-06-28</t>
        </is>
      </c>
      <c r="V761" t="inlineStr">
        <is>
          <t>2007-06-28</t>
        </is>
      </c>
      <c r="W761" t="inlineStr">
        <is>
          <t>2004-11-01</t>
        </is>
      </c>
      <c r="X761" t="inlineStr">
        <is>
          <t>2004-11-01</t>
        </is>
      </c>
      <c r="Y761" t="n">
        <v>83</v>
      </c>
      <c r="Z761" t="n">
        <v>76</v>
      </c>
      <c r="AA761" t="n">
        <v>81</v>
      </c>
      <c r="AB761" t="n">
        <v>1</v>
      </c>
      <c r="AC761" t="n">
        <v>1</v>
      </c>
      <c r="AD761" t="n">
        <v>5</v>
      </c>
      <c r="AE761" t="n">
        <v>5</v>
      </c>
      <c r="AF761" t="n">
        <v>1</v>
      </c>
      <c r="AG761" t="n">
        <v>1</v>
      </c>
      <c r="AH761" t="n">
        <v>2</v>
      </c>
      <c r="AI761" t="n">
        <v>2</v>
      </c>
      <c r="AJ761" t="n">
        <v>4</v>
      </c>
      <c r="AK761" t="n">
        <v>4</v>
      </c>
      <c r="AL761" t="n">
        <v>0</v>
      </c>
      <c r="AM761" t="n">
        <v>0</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HYPERLINK("https://creighton-primo.hosted.exlibrisgroup.com/primo-explore/search?tab=default_tab&amp;search_scope=EVERYTHING&amp;vid=01CRU&amp;lang=en_US&amp;offset=0&amp;query=any,contains,991004286709702656","Catalog Record")</f>
        <v/>
      </c>
      <c r="AT761">
        <f>HYPERLINK("http://www.worldcat.org/oclc/52134779","WorldCat Record")</f>
        <v/>
      </c>
      <c r="AU761" t="inlineStr">
        <is>
          <t>10142773465:eng</t>
        </is>
      </c>
      <c r="AV761" t="inlineStr">
        <is>
          <t>52134779</t>
        </is>
      </c>
      <c r="AW761" t="inlineStr">
        <is>
          <t>991004286709702656</t>
        </is>
      </c>
      <c r="AX761" t="inlineStr">
        <is>
          <t>991004286709702656</t>
        </is>
      </c>
      <c r="AY761" t="inlineStr">
        <is>
          <t>2255166490002656</t>
        </is>
      </c>
      <c r="AZ761" t="inlineStr">
        <is>
          <t>BOOK</t>
        </is>
      </c>
      <c r="BB761" t="inlineStr">
        <is>
          <t>9781570754982</t>
        </is>
      </c>
      <c r="BC761" t="inlineStr">
        <is>
          <t>32285005007413</t>
        </is>
      </c>
      <c r="BD761" t="inlineStr">
        <is>
          <t>893782072</t>
        </is>
      </c>
    </row>
    <row r="762">
      <c r="A762" t="inlineStr">
        <is>
          <t>No</t>
        </is>
      </c>
      <c r="B762" t="inlineStr">
        <is>
          <t>BV4740 .M25 1996</t>
        </is>
      </c>
      <c r="C762" t="inlineStr">
        <is>
          <t>0                      BV 4740000M  25          1996</t>
        </is>
      </c>
      <c r="D762" t="inlineStr">
        <is>
          <t>A kind of life imposed on man : vocation and social order from Tyndale to Locke / Paul Marshall.</t>
        </is>
      </c>
      <c r="F762" t="inlineStr">
        <is>
          <t>No</t>
        </is>
      </c>
      <c r="G762" t="inlineStr">
        <is>
          <t>1</t>
        </is>
      </c>
      <c r="H762" t="inlineStr">
        <is>
          <t>No</t>
        </is>
      </c>
      <c r="I762" t="inlineStr">
        <is>
          <t>No</t>
        </is>
      </c>
      <c r="J762" t="inlineStr">
        <is>
          <t>0</t>
        </is>
      </c>
      <c r="K762" t="inlineStr">
        <is>
          <t>Marshall, Paul A., 1948-</t>
        </is>
      </c>
      <c r="L762" t="inlineStr">
        <is>
          <t>Toronto [Ont.] ; Buffalo [N.Y.] : University of Toronto Press, c1996.</t>
        </is>
      </c>
      <c r="M762" t="inlineStr">
        <is>
          <t>1996</t>
        </is>
      </c>
      <c r="O762" t="inlineStr">
        <is>
          <t>eng</t>
        </is>
      </c>
      <c r="P762" t="inlineStr">
        <is>
          <t>onc</t>
        </is>
      </c>
      <c r="R762" t="inlineStr">
        <is>
          <t xml:space="preserve">BV </t>
        </is>
      </c>
      <c r="S762" t="n">
        <v>3</v>
      </c>
      <c r="T762" t="n">
        <v>3</v>
      </c>
      <c r="U762" t="inlineStr">
        <is>
          <t>2005-01-27</t>
        </is>
      </c>
      <c r="V762" t="inlineStr">
        <is>
          <t>2005-01-27</t>
        </is>
      </c>
      <c r="W762" t="inlineStr">
        <is>
          <t>1996-12-03</t>
        </is>
      </c>
      <c r="X762" t="inlineStr">
        <is>
          <t>1996-12-03</t>
        </is>
      </c>
      <c r="Y762" t="n">
        <v>245</v>
      </c>
      <c r="Z762" t="n">
        <v>199</v>
      </c>
      <c r="AA762" t="n">
        <v>254</v>
      </c>
      <c r="AB762" t="n">
        <v>3</v>
      </c>
      <c r="AC762" t="n">
        <v>4</v>
      </c>
      <c r="AD762" t="n">
        <v>15</v>
      </c>
      <c r="AE762" t="n">
        <v>22</v>
      </c>
      <c r="AF762" t="n">
        <v>4</v>
      </c>
      <c r="AG762" t="n">
        <v>9</v>
      </c>
      <c r="AH762" t="n">
        <v>4</v>
      </c>
      <c r="AI762" t="n">
        <v>5</v>
      </c>
      <c r="AJ762" t="n">
        <v>8</v>
      </c>
      <c r="AK762" t="n">
        <v>9</v>
      </c>
      <c r="AL762" t="n">
        <v>2</v>
      </c>
      <c r="AM762" t="n">
        <v>3</v>
      </c>
      <c r="AN762" t="n">
        <v>0</v>
      </c>
      <c r="AO762" t="n">
        <v>0</v>
      </c>
      <c r="AP762" t="inlineStr">
        <is>
          <t>No</t>
        </is>
      </c>
      <c r="AQ762" t="inlineStr">
        <is>
          <t>Yes</t>
        </is>
      </c>
      <c r="AR762">
        <f>HYPERLINK("http://catalog.hathitrust.org/Record/003116453","HathiTrust Record")</f>
        <v/>
      </c>
      <c r="AS762">
        <f>HYPERLINK("https://creighton-primo.hosted.exlibrisgroup.com/primo-explore/search?tab=default_tab&amp;search_scope=EVERYTHING&amp;vid=01CRU&amp;lang=en_US&amp;offset=0&amp;query=any,contains,991002742299702656","Catalog Record")</f>
        <v/>
      </c>
      <c r="AT762">
        <f>HYPERLINK("http://www.worldcat.org/oclc/36008871","WorldCat Record")</f>
        <v/>
      </c>
      <c r="AU762" t="inlineStr">
        <is>
          <t>20552385:eng</t>
        </is>
      </c>
      <c r="AV762" t="inlineStr">
        <is>
          <t>36008871</t>
        </is>
      </c>
      <c r="AW762" t="inlineStr">
        <is>
          <t>991002742299702656</t>
        </is>
      </c>
      <c r="AX762" t="inlineStr">
        <is>
          <t>991002742299702656</t>
        </is>
      </c>
      <c r="AY762" t="inlineStr">
        <is>
          <t>2258989860002656</t>
        </is>
      </c>
      <c r="AZ762" t="inlineStr">
        <is>
          <t>BOOK</t>
        </is>
      </c>
      <c r="BB762" t="inlineStr">
        <is>
          <t>9780802007841</t>
        </is>
      </c>
      <c r="BC762" t="inlineStr">
        <is>
          <t>32285002387685</t>
        </is>
      </c>
      <c r="BD762" t="inlineStr">
        <is>
          <t>893245575</t>
        </is>
      </c>
    </row>
    <row r="763">
      <c r="A763" t="inlineStr">
        <is>
          <t>No</t>
        </is>
      </c>
      <c r="B763" t="inlineStr">
        <is>
          <t>BV4740 .S33 2005</t>
        </is>
      </c>
      <c r="C763" t="inlineStr">
        <is>
          <t>0                      BV 4740000S  33          2005</t>
        </is>
      </c>
      <c r="D763" t="inlineStr">
        <is>
          <t>Here I am : now what on earth should I be doing? / Quentin J. Schultze.</t>
        </is>
      </c>
      <c r="F763" t="inlineStr">
        <is>
          <t>No</t>
        </is>
      </c>
      <c r="G763" t="inlineStr">
        <is>
          <t>1</t>
        </is>
      </c>
      <c r="H763" t="inlineStr">
        <is>
          <t>No</t>
        </is>
      </c>
      <c r="I763" t="inlineStr">
        <is>
          <t>No</t>
        </is>
      </c>
      <c r="J763" t="inlineStr">
        <is>
          <t>0</t>
        </is>
      </c>
      <c r="K763" t="inlineStr">
        <is>
          <t>Schultze, Quentin J. (Quentin James), 1952-</t>
        </is>
      </c>
      <c r="L763" t="inlineStr">
        <is>
          <t>a Grand Rapids, MI : Baker Books, c2005.</t>
        </is>
      </c>
      <c r="M763" t="inlineStr">
        <is>
          <t>2005</t>
        </is>
      </c>
      <c r="O763" t="inlineStr">
        <is>
          <t>eng</t>
        </is>
      </c>
      <c r="P763" t="inlineStr">
        <is>
          <t>miu</t>
        </is>
      </c>
      <c r="R763" t="inlineStr">
        <is>
          <t xml:space="preserve">BV </t>
        </is>
      </c>
      <c r="S763" t="n">
        <v>5</v>
      </c>
      <c r="T763" t="n">
        <v>5</v>
      </c>
      <c r="U763" t="inlineStr">
        <is>
          <t>2010-02-24</t>
        </is>
      </c>
      <c r="V763" t="inlineStr">
        <is>
          <t>2010-02-24</t>
        </is>
      </c>
      <c r="W763" t="inlineStr">
        <is>
          <t>2006-05-23</t>
        </is>
      </c>
      <c r="X763" t="inlineStr">
        <is>
          <t>2006-05-23</t>
        </is>
      </c>
      <c r="Y763" t="n">
        <v>150</v>
      </c>
      <c r="Z763" t="n">
        <v>137</v>
      </c>
      <c r="AA763" t="n">
        <v>143</v>
      </c>
      <c r="AB763" t="n">
        <v>1</v>
      </c>
      <c r="AC763" t="n">
        <v>1</v>
      </c>
      <c r="AD763" t="n">
        <v>5</v>
      </c>
      <c r="AE763" t="n">
        <v>6</v>
      </c>
      <c r="AF763" t="n">
        <v>2</v>
      </c>
      <c r="AG763" t="n">
        <v>3</v>
      </c>
      <c r="AH763" t="n">
        <v>1</v>
      </c>
      <c r="AI763" t="n">
        <v>2</v>
      </c>
      <c r="AJ763" t="n">
        <v>3</v>
      </c>
      <c r="AK763" t="n">
        <v>3</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HYPERLINK("https://creighton-primo.hosted.exlibrisgroup.com/primo-explore/search?tab=default_tab&amp;search_scope=EVERYTHING&amp;vid=01CRU&amp;lang=en_US&amp;offset=0&amp;query=any,contains,991004780829702656","Catalog Record")</f>
        <v/>
      </c>
      <c r="AT763">
        <f>HYPERLINK("http://www.worldcat.org/oclc/56834650","WorldCat Record")</f>
        <v/>
      </c>
      <c r="AU763" t="inlineStr">
        <is>
          <t>1097968721:eng</t>
        </is>
      </c>
      <c r="AV763" t="inlineStr">
        <is>
          <t>56834650</t>
        </is>
      </c>
      <c r="AW763" t="inlineStr">
        <is>
          <t>991004780829702656</t>
        </is>
      </c>
      <c r="AX763" t="inlineStr">
        <is>
          <t>991004780829702656</t>
        </is>
      </c>
      <c r="AY763" t="inlineStr">
        <is>
          <t>2269605630002656</t>
        </is>
      </c>
      <c r="AZ763" t="inlineStr">
        <is>
          <t>BOOK</t>
        </is>
      </c>
      <c r="BB763" t="inlineStr">
        <is>
          <t>9780801065453</t>
        </is>
      </c>
      <c r="BC763" t="inlineStr">
        <is>
          <t>32285005188692</t>
        </is>
      </c>
      <c r="BD763" t="inlineStr">
        <is>
          <t>893713025</t>
        </is>
      </c>
    </row>
    <row r="764">
      <c r="A764" t="inlineStr">
        <is>
          <t>No</t>
        </is>
      </c>
      <c r="B764" t="inlineStr">
        <is>
          <t>BV4812.A1 S28 1971</t>
        </is>
      </c>
      <c r="C764" t="inlineStr">
        <is>
          <t>0                      BV 4812000A  1                  S  28          1971</t>
        </is>
      </c>
      <c r="D764" t="inlineStr">
        <is>
          <t>Cycles, the first year : reflections for the Sundays of the year / edited by Louis M. Savary.</t>
        </is>
      </c>
      <c r="F764" t="inlineStr">
        <is>
          <t>No</t>
        </is>
      </c>
      <c r="G764" t="inlineStr">
        <is>
          <t>1</t>
        </is>
      </c>
      <c r="H764" t="inlineStr">
        <is>
          <t>No</t>
        </is>
      </c>
      <c r="I764" t="inlineStr">
        <is>
          <t>No</t>
        </is>
      </c>
      <c r="J764" t="inlineStr">
        <is>
          <t>0</t>
        </is>
      </c>
      <c r="K764" t="inlineStr">
        <is>
          <t>Savary, Louis M. compiler.</t>
        </is>
      </c>
      <c r="L764" t="inlineStr">
        <is>
          <t>New York : Regina Press, 1971.</t>
        </is>
      </c>
      <c r="M764" t="inlineStr">
        <is>
          <t>1971</t>
        </is>
      </c>
      <c r="O764" t="inlineStr">
        <is>
          <t>eng</t>
        </is>
      </c>
      <c r="P764" t="inlineStr">
        <is>
          <t>nyu</t>
        </is>
      </c>
      <c r="R764" t="inlineStr">
        <is>
          <t xml:space="preserve">BV </t>
        </is>
      </c>
      <c r="S764" t="n">
        <v>1</v>
      </c>
      <c r="T764" t="n">
        <v>1</v>
      </c>
      <c r="U764" t="inlineStr">
        <is>
          <t>2005-02-11</t>
        </is>
      </c>
      <c r="V764" t="inlineStr">
        <is>
          <t>2005-02-11</t>
        </is>
      </c>
      <c r="W764" t="inlineStr">
        <is>
          <t>1992-03-09</t>
        </is>
      </c>
      <c r="X764" t="inlineStr">
        <is>
          <t>1992-03-09</t>
        </is>
      </c>
      <c r="Y764" t="n">
        <v>52</v>
      </c>
      <c r="Z764" t="n">
        <v>51</v>
      </c>
      <c r="AA764" t="n">
        <v>52</v>
      </c>
      <c r="AB764" t="n">
        <v>2</v>
      </c>
      <c r="AC764" t="n">
        <v>2</v>
      </c>
      <c r="AD764" t="n">
        <v>4</v>
      </c>
      <c r="AE764" t="n">
        <v>4</v>
      </c>
      <c r="AF764" t="n">
        <v>0</v>
      </c>
      <c r="AG764" t="n">
        <v>0</v>
      </c>
      <c r="AH764" t="n">
        <v>1</v>
      </c>
      <c r="AI764" t="n">
        <v>1</v>
      </c>
      <c r="AJ764" t="n">
        <v>3</v>
      </c>
      <c r="AK764" t="n">
        <v>3</v>
      </c>
      <c r="AL764" t="n">
        <v>0</v>
      </c>
      <c r="AM764" t="n">
        <v>0</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HYPERLINK("https://creighton-primo.hosted.exlibrisgroup.com/primo-explore/search?tab=default_tab&amp;search_scope=EVERYTHING&amp;vid=01CRU&amp;lang=en_US&amp;offset=0&amp;query=any,contains,991002897889702656","Catalog Record")</f>
        <v/>
      </c>
      <c r="AT764">
        <f>HYPERLINK("http://www.worldcat.org/oclc/514846","WorldCat Record")</f>
        <v/>
      </c>
      <c r="AU764" t="inlineStr">
        <is>
          <t>1489021:eng</t>
        </is>
      </c>
      <c r="AV764" t="inlineStr">
        <is>
          <t>514846</t>
        </is>
      </c>
      <c r="AW764" t="inlineStr">
        <is>
          <t>991002897889702656</t>
        </is>
      </c>
      <c r="AX764" t="inlineStr">
        <is>
          <t>991002897889702656</t>
        </is>
      </c>
      <c r="AY764" t="inlineStr">
        <is>
          <t>2262034420002656</t>
        </is>
      </c>
      <c r="AZ764" t="inlineStr">
        <is>
          <t>BOOK</t>
        </is>
      </c>
      <c r="BC764" t="inlineStr">
        <is>
          <t>32285000968734</t>
        </is>
      </c>
      <c r="BD764" t="inlineStr">
        <is>
          <t>893434422</t>
        </is>
      </c>
    </row>
    <row r="765">
      <c r="A765" t="inlineStr">
        <is>
          <t>No</t>
        </is>
      </c>
      <c r="B765" t="inlineStr">
        <is>
          <t>BV4813 .B68</t>
        </is>
      </c>
      <c r="C765" t="inlineStr">
        <is>
          <t>0                      BV 4813000B  68</t>
        </is>
      </c>
      <c r="D765" t="inlineStr">
        <is>
          <t>Hidden in plain sight : the practice of Christian meditation / Avery Brooke ; with art by Carol Aymar Armstrong.</t>
        </is>
      </c>
      <c r="F765" t="inlineStr">
        <is>
          <t>No</t>
        </is>
      </c>
      <c r="G765" t="inlineStr">
        <is>
          <t>1</t>
        </is>
      </c>
      <c r="H765" t="inlineStr">
        <is>
          <t>No</t>
        </is>
      </c>
      <c r="I765" t="inlineStr">
        <is>
          <t>No</t>
        </is>
      </c>
      <c r="J765" t="inlineStr">
        <is>
          <t>0</t>
        </is>
      </c>
      <c r="K765" t="inlineStr">
        <is>
          <t>Brooke, Avery.</t>
        </is>
      </c>
      <c r="L765" t="inlineStr">
        <is>
          <t>New York : Seabury Press, 1978.</t>
        </is>
      </c>
      <c r="M765" t="inlineStr">
        <is>
          <t>1978</t>
        </is>
      </c>
      <c r="O765" t="inlineStr">
        <is>
          <t>eng</t>
        </is>
      </c>
      <c r="P765" t="inlineStr">
        <is>
          <t>nyu</t>
        </is>
      </c>
      <c r="R765" t="inlineStr">
        <is>
          <t xml:space="preserve">BV </t>
        </is>
      </c>
      <c r="S765" t="n">
        <v>4</v>
      </c>
      <c r="T765" t="n">
        <v>4</v>
      </c>
      <c r="U765" t="inlineStr">
        <is>
          <t>2000-09-21</t>
        </is>
      </c>
      <c r="V765" t="inlineStr">
        <is>
          <t>2000-09-21</t>
        </is>
      </c>
      <c r="W765" t="inlineStr">
        <is>
          <t>1992-01-07</t>
        </is>
      </c>
      <c r="X765" t="inlineStr">
        <is>
          <t>1992-01-07</t>
        </is>
      </c>
      <c r="Y765" t="n">
        <v>111</v>
      </c>
      <c r="Z765" t="n">
        <v>105</v>
      </c>
      <c r="AA765" t="n">
        <v>123</v>
      </c>
      <c r="AB765" t="n">
        <v>1</v>
      </c>
      <c r="AC765" t="n">
        <v>1</v>
      </c>
      <c r="AD765" t="n">
        <v>5</v>
      </c>
      <c r="AE765" t="n">
        <v>5</v>
      </c>
      <c r="AF765" t="n">
        <v>4</v>
      </c>
      <c r="AG765" t="n">
        <v>4</v>
      </c>
      <c r="AH765" t="n">
        <v>0</v>
      </c>
      <c r="AI765" t="n">
        <v>0</v>
      </c>
      <c r="AJ765" t="n">
        <v>3</v>
      </c>
      <c r="AK765" t="n">
        <v>3</v>
      </c>
      <c r="AL765" t="n">
        <v>0</v>
      </c>
      <c r="AM765" t="n">
        <v>0</v>
      </c>
      <c r="AN765" t="n">
        <v>0</v>
      </c>
      <c r="AO765" t="n">
        <v>0</v>
      </c>
      <c r="AP765" t="inlineStr">
        <is>
          <t>No</t>
        </is>
      </c>
      <c r="AQ765" t="inlineStr">
        <is>
          <t>Yes</t>
        </is>
      </c>
      <c r="AR765">
        <f>HYPERLINK("http://catalog.hathitrust.org/Record/004509101","HathiTrust Record")</f>
        <v/>
      </c>
      <c r="AS765">
        <f>HYPERLINK("https://creighton-primo.hosted.exlibrisgroup.com/primo-explore/search?tab=default_tab&amp;search_scope=EVERYTHING&amp;vid=01CRU&amp;lang=en_US&amp;offset=0&amp;query=any,contains,991004428709702656","Catalog Record")</f>
        <v/>
      </c>
      <c r="AT765">
        <f>HYPERLINK("http://www.worldcat.org/oclc/3414289","WorldCat Record")</f>
        <v/>
      </c>
      <c r="AU765" t="inlineStr">
        <is>
          <t>8134158:eng</t>
        </is>
      </c>
      <c r="AV765" t="inlineStr">
        <is>
          <t>3414289</t>
        </is>
      </c>
      <c r="AW765" t="inlineStr">
        <is>
          <t>991004428709702656</t>
        </is>
      </c>
      <c r="AX765" t="inlineStr">
        <is>
          <t>991004428709702656</t>
        </is>
      </c>
      <c r="AY765" t="inlineStr">
        <is>
          <t>2259673660002656</t>
        </is>
      </c>
      <c r="AZ765" t="inlineStr">
        <is>
          <t>BOOK</t>
        </is>
      </c>
      <c r="BB765" t="inlineStr">
        <is>
          <t>9780816421763</t>
        </is>
      </c>
      <c r="BC765" t="inlineStr">
        <is>
          <t>32285000883685</t>
        </is>
      </c>
      <c r="BD765" t="inlineStr">
        <is>
          <t>893876103</t>
        </is>
      </c>
    </row>
    <row r="766">
      <c r="A766" t="inlineStr">
        <is>
          <t>No</t>
        </is>
      </c>
      <c r="B766" t="inlineStr">
        <is>
          <t>BV4813 .C3</t>
        </is>
      </c>
      <c r="C766" t="inlineStr">
        <is>
          <t>0                      BV 4813000C  3</t>
        </is>
      </c>
      <c r="D766" t="inlineStr">
        <is>
          <t>The desert in the city / Translated by Barbara Wall.</t>
        </is>
      </c>
      <c r="F766" t="inlineStr">
        <is>
          <t>No</t>
        </is>
      </c>
      <c r="G766" t="inlineStr">
        <is>
          <t>1</t>
        </is>
      </c>
      <c r="H766" t="inlineStr">
        <is>
          <t>No</t>
        </is>
      </c>
      <c r="I766" t="inlineStr">
        <is>
          <t>No</t>
        </is>
      </c>
      <c r="J766" t="inlineStr">
        <is>
          <t>0</t>
        </is>
      </c>
      <c r="K766" t="inlineStr">
        <is>
          <t>Carretto, Carlo.</t>
        </is>
      </c>
      <c r="L766" t="inlineStr">
        <is>
          <t>[New York] Collins [1979]</t>
        </is>
      </c>
      <c r="M766" t="inlineStr">
        <is>
          <t>1979</t>
        </is>
      </c>
      <c r="O766" t="inlineStr">
        <is>
          <t>eng</t>
        </is>
      </c>
      <c r="P766" t="inlineStr">
        <is>
          <t xml:space="preserve">xx </t>
        </is>
      </c>
      <c r="R766" t="inlineStr">
        <is>
          <t xml:space="preserve">BV </t>
        </is>
      </c>
      <c r="S766" t="n">
        <v>4</v>
      </c>
      <c r="T766" t="n">
        <v>4</v>
      </c>
      <c r="U766" t="inlineStr">
        <is>
          <t>2001-08-28</t>
        </is>
      </c>
      <c r="V766" t="inlineStr">
        <is>
          <t>2001-08-28</t>
        </is>
      </c>
      <c r="W766" t="inlineStr">
        <is>
          <t>1992-03-09</t>
        </is>
      </c>
      <c r="X766" t="inlineStr">
        <is>
          <t>1992-03-09</t>
        </is>
      </c>
      <c r="Y766" t="n">
        <v>154</v>
      </c>
      <c r="Z766" t="n">
        <v>108</v>
      </c>
      <c r="AA766" t="n">
        <v>194</v>
      </c>
      <c r="AB766" t="n">
        <v>2</v>
      </c>
      <c r="AC766" t="n">
        <v>3</v>
      </c>
      <c r="AD766" t="n">
        <v>9</v>
      </c>
      <c r="AE766" t="n">
        <v>14</v>
      </c>
      <c r="AF766" t="n">
        <v>2</v>
      </c>
      <c r="AG766" t="n">
        <v>3</v>
      </c>
      <c r="AH766" t="n">
        <v>1</v>
      </c>
      <c r="AI766" t="n">
        <v>3</v>
      </c>
      <c r="AJ766" t="n">
        <v>8</v>
      </c>
      <c r="AK766" t="n">
        <v>10</v>
      </c>
      <c r="AL766" t="n">
        <v>0</v>
      </c>
      <c r="AM766" t="n">
        <v>1</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HYPERLINK("https://creighton-primo.hosted.exlibrisgroup.com/primo-explore/search?tab=default_tab&amp;search_scope=EVERYTHING&amp;vid=01CRU&amp;lang=en_US&amp;offset=0&amp;query=any,contains,991004843659702656","Catalog Record")</f>
        <v/>
      </c>
      <c r="AT766">
        <f>HYPERLINK("http://www.worldcat.org/oclc/13949529","WorldCat Record")</f>
        <v/>
      </c>
      <c r="AU766" t="inlineStr">
        <is>
          <t>3857133333:eng</t>
        </is>
      </c>
      <c r="AV766" t="inlineStr">
        <is>
          <t>13949529</t>
        </is>
      </c>
      <c r="AW766" t="inlineStr">
        <is>
          <t>991004843659702656</t>
        </is>
      </c>
      <c r="AX766" t="inlineStr">
        <is>
          <t>991004843659702656</t>
        </is>
      </c>
      <c r="AY766" t="inlineStr">
        <is>
          <t>2255477430002656</t>
        </is>
      </c>
      <c r="AZ766" t="inlineStr">
        <is>
          <t>BOOK</t>
        </is>
      </c>
      <c r="BB766" t="inlineStr">
        <is>
          <t>9780529056719</t>
        </is>
      </c>
      <c r="BC766" t="inlineStr">
        <is>
          <t>32285000968791</t>
        </is>
      </c>
      <c r="BD766" t="inlineStr">
        <is>
          <t>893319702</t>
        </is>
      </c>
    </row>
    <row r="767">
      <c r="A767" t="inlineStr">
        <is>
          <t>No</t>
        </is>
      </c>
      <c r="B767" t="inlineStr">
        <is>
          <t>BV4813 .C374 1989</t>
        </is>
      </c>
      <c r="C767" t="inlineStr">
        <is>
          <t>0                      BV 4813000C  374         1989</t>
        </is>
      </c>
      <c r="D767" t="inlineStr">
        <is>
          <t>Letter to the bishops of the Catholic Church on some aspects of Christian meditation.</t>
        </is>
      </c>
      <c r="F767" t="inlineStr">
        <is>
          <t>No</t>
        </is>
      </c>
      <c r="G767" t="inlineStr">
        <is>
          <t>1</t>
        </is>
      </c>
      <c r="H767" t="inlineStr">
        <is>
          <t>No</t>
        </is>
      </c>
      <c r="I767" t="inlineStr">
        <is>
          <t>No</t>
        </is>
      </c>
      <c r="J767" t="inlineStr">
        <is>
          <t>0</t>
        </is>
      </c>
      <c r="K767" t="inlineStr">
        <is>
          <t>Catholic Church. Congregatio pro Doctrina Fidei.</t>
        </is>
      </c>
      <c r="L767" t="inlineStr">
        <is>
          <t>Vatican City ; [Washington, D.C. : United States Catholic Conference, Office for Publishing and Promotion Services, 1989].</t>
        </is>
      </c>
      <c r="M767" t="inlineStr">
        <is>
          <t>1989</t>
        </is>
      </c>
      <c r="O767" t="inlineStr">
        <is>
          <t>eng</t>
        </is>
      </c>
      <c r="P767" t="inlineStr">
        <is>
          <t xml:space="preserve">vc </t>
        </is>
      </c>
      <c r="Q767" t="inlineStr">
        <is>
          <t>Publication / Office for Publishing and Promotion Services, United States Catholic Conference ; no. 336-1</t>
        </is>
      </c>
      <c r="R767" t="inlineStr">
        <is>
          <t xml:space="preserve">BV </t>
        </is>
      </c>
      <c r="S767" t="n">
        <v>2</v>
      </c>
      <c r="T767" t="n">
        <v>2</v>
      </c>
      <c r="U767" t="inlineStr">
        <is>
          <t>2005-09-13</t>
        </is>
      </c>
      <c r="V767" t="inlineStr">
        <is>
          <t>2005-09-13</t>
        </is>
      </c>
      <c r="W767" t="inlineStr">
        <is>
          <t>1990-04-20</t>
        </is>
      </c>
      <c r="X767" t="inlineStr">
        <is>
          <t>1990-04-20</t>
        </is>
      </c>
      <c r="Y767" t="n">
        <v>82</v>
      </c>
      <c r="Z767" t="n">
        <v>81</v>
      </c>
      <c r="AA767" t="n">
        <v>90</v>
      </c>
      <c r="AB767" t="n">
        <v>1</v>
      </c>
      <c r="AC767" t="n">
        <v>1</v>
      </c>
      <c r="AD767" t="n">
        <v>15</v>
      </c>
      <c r="AE767" t="n">
        <v>15</v>
      </c>
      <c r="AF767" t="n">
        <v>4</v>
      </c>
      <c r="AG767" t="n">
        <v>4</v>
      </c>
      <c r="AH767" t="n">
        <v>5</v>
      </c>
      <c r="AI767" t="n">
        <v>5</v>
      </c>
      <c r="AJ767" t="n">
        <v>11</v>
      </c>
      <c r="AK767" t="n">
        <v>11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HYPERLINK("https://creighton-primo.hosted.exlibrisgroup.com/primo-explore/search?tab=default_tab&amp;search_scope=EVERYTHING&amp;vid=01CRU&amp;lang=en_US&amp;offset=0&amp;query=any,contains,991001670249702656","Catalog Record")</f>
        <v/>
      </c>
      <c r="AT767">
        <f>HYPERLINK("http://www.worldcat.org/oclc/21272143","WorldCat Record")</f>
        <v/>
      </c>
      <c r="AU767" t="inlineStr">
        <is>
          <t>23152840:eng</t>
        </is>
      </c>
      <c r="AV767" t="inlineStr">
        <is>
          <t>21272143</t>
        </is>
      </c>
      <c r="AW767" t="inlineStr">
        <is>
          <t>991001670249702656</t>
        </is>
      </c>
      <c r="AX767" t="inlineStr">
        <is>
          <t>991001670249702656</t>
        </is>
      </c>
      <c r="AY767" t="inlineStr">
        <is>
          <t>2259714250002656</t>
        </is>
      </c>
      <c r="AZ767" t="inlineStr">
        <is>
          <t>BOOK</t>
        </is>
      </c>
      <c r="BB767" t="inlineStr">
        <is>
          <t>9781555863364</t>
        </is>
      </c>
      <c r="BC767" t="inlineStr">
        <is>
          <t>32285000022169</t>
        </is>
      </c>
      <c r="BD767" t="inlineStr">
        <is>
          <t>893778974</t>
        </is>
      </c>
    </row>
    <row r="768">
      <c r="A768" t="inlineStr">
        <is>
          <t>No</t>
        </is>
      </c>
      <c r="B768" t="inlineStr">
        <is>
          <t>BV4813 .C68 1927</t>
        </is>
      </c>
      <c r="C768" t="inlineStr">
        <is>
          <t>0                      BV 4813000C  68          1927</t>
        </is>
      </c>
      <c r="D768" t="inlineStr">
        <is>
          <t>Familiar instructions on the degrees of mental prayer / by the Abbé Courbon ; translated from the French by a client of St. Teresa.</t>
        </is>
      </c>
      <c r="F768" t="inlineStr">
        <is>
          <t>No</t>
        </is>
      </c>
      <c r="G768" t="inlineStr">
        <is>
          <t>1</t>
        </is>
      </c>
      <c r="H768" t="inlineStr">
        <is>
          <t>No</t>
        </is>
      </c>
      <c r="I768" t="inlineStr">
        <is>
          <t>No</t>
        </is>
      </c>
      <c r="J768" t="inlineStr">
        <is>
          <t>0</t>
        </is>
      </c>
      <c r="K768" t="inlineStr">
        <is>
          <t>Courbon, abbé, curé de Saint-Cyr.</t>
        </is>
      </c>
      <c r="L768" t="inlineStr">
        <is>
          <t>Loughrea, [Ire.] : M. S. Kelly ; New York : Benziger, [1927].</t>
        </is>
      </c>
      <c r="M768" t="inlineStr">
        <is>
          <t>1927</t>
        </is>
      </c>
      <c r="O768" t="inlineStr">
        <is>
          <t>eng</t>
        </is>
      </c>
      <c r="P768" t="inlineStr">
        <is>
          <t xml:space="preserve">ie </t>
        </is>
      </c>
      <c r="R768" t="inlineStr">
        <is>
          <t xml:space="preserve">BV </t>
        </is>
      </c>
      <c r="S768" t="n">
        <v>1</v>
      </c>
      <c r="T768" t="n">
        <v>1</v>
      </c>
      <c r="U768" t="inlineStr">
        <is>
          <t>1996-09-09</t>
        </is>
      </c>
      <c r="V768" t="inlineStr">
        <is>
          <t>1996-09-09</t>
        </is>
      </c>
      <c r="W768" t="inlineStr">
        <is>
          <t>1992-06-09</t>
        </is>
      </c>
      <c r="X768" t="inlineStr">
        <is>
          <t>1992-06-09</t>
        </is>
      </c>
      <c r="Y768" t="n">
        <v>24</v>
      </c>
      <c r="Z768" t="n">
        <v>20</v>
      </c>
      <c r="AA768" t="n">
        <v>30</v>
      </c>
      <c r="AB768" t="n">
        <v>1</v>
      </c>
      <c r="AC768" t="n">
        <v>1</v>
      </c>
      <c r="AD768" t="n">
        <v>5</v>
      </c>
      <c r="AE768" t="n">
        <v>9</v>
      </c>
      <c r="AF768" t="n">
        <v>0</v>
      </c>
      <c r="AG768" t="n">
        <v>0</v>
      </c>
      <c r="AH768" t="n">
        <v>2</v>
      </c>
      <c r="AI768" t="n">
        <v>3</v>
      </c>
      <c r="AJ768" t="n">
        <v>4</v>
      </c>
      <c r="AK768" t="n">
        <v>8</v>
      </c>
      <c r="AL768" t="n">
        <v>0</v>
      </c>
      <c r="AM768" t="n">
        <v>0</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HYPERLINK("https://creighton-primo.hosted.exlibrisgroup.com/primo-explore/search?tab=default_tab&amp;search_scope=EVERYTHING&amp;vid=01CRU&amp;lang=en_US&amp;offset=0&amp;query=any,contains,991004680639702656","Catalog Record")</f>
        <v/>
      </c>
      <c r="AT768">
        <f>HYPERLINK("http://www.worldcat.org/oclc/4564906","WorldCat Record")</f>
        <v/>
      </c>
      <c r="AU768" t="inlineStr">
        <is>
          <t>4160143104:eng</t>
        </is>
      </c>
      <c r="AV768" t="inlineStr">
        <is>
          <t>4564906</t>
        </is>
      </c>
      <c r="AW768" t="inlineStr">
        <is>
          <t>991004680639702656</t>
        </is>
      </c>
      <c r="AX768" t="inlineStr">
        <is>
          <t>991004680639702656</t>
        </is>
      </c>
      <c r="AY768" t="inlineStr">
        <is>
          <t>2263817580002656</t>
        </is>
      </c>
      <c r="AZ768" t="inlineStr">
        <is>
          <t>BOOK</t>
        </is>
      </c>
      <c r="BC768" t="inlineStr">
        <is>
          <t>32285001074581</t>
        </is>
      </c>
      <c r="BD768" t="inlineStr">
        <is>
          <t>893229697</t>
        </is>
      </c>
    </row>
    <row r="769">
      <c r="A769" t="inlineStr">
        <is>
          <t>No</t>
        </is>
      </c>
      <c r="B769" t="inlineStr">
        <is>
          <t>BV4813 .E36 1998</t>
        </is>
      </c>
      <c r="C769" t="inlineStr">
        <is>
          <t>0                      BV 4813000E  36          1998</t>
        </is>
      </c>
      <c r="D769" t="inlineStr">
        <is>
          <t>Living simply through the day : spiritual survival in a complex age / by Tilden Edwards.</t>
        </is>
      </c>
      <c r="F769" t="inlineStr">
        <is>
          <t>No</t>
        </is>
      </c>
      <c r="G769" t="inlineStr">
        <is>
          <t>1</t>
        </is>
      </c>
      <c r="H769" t="inlineStr">
        <is>
          <t>No</t>
        </is>
      </c>
      <c r="I769" t="inlineStr">
        <is>
          <t>No</t>
        </is>
      </c>
      <c r="J769" t="inlineStr">
        <is>
          <t>0</t>
        </is>
      </c>
      <c r="K769" t="inlineStr">
        <is>
          <t>Edwards, Tilden.</t>
        </is>
      </c>
      <c r="L769" t="inlineStr">
        <is>
          <t>New York : Paulist Press, c1998.</t>
        </is>
      </c>
      <c r="M769" t="inlineStr">
        <is>
          <t>1998</t>
        </is>
      </c>
      <c r="N769" t="inlineStr">
        <is>
          <t>Rev. and updated ed.</t>
        </is>
      </c>
      <c r="O769" t="inlineStr">
        <is>
          <t>eng</t>
        </is>
      </c>
      <c r="P769" t="inlineStr">
        <is>
          <t>nyu</t>
        </is>
      </c>
      <c r="R769" t="inlineStr">
        <is>
          <t xml:space="preserve">BV </t>
        </is>
      </c>
      <c r="S769" t="n">
        <v>4</v>
      </c>
      <c r="T769" t="n">
        <v>4</v>
      </c>
      <c r="U769" t="inlineStr">
        <is>
          <t>2003-06-17</t>
        </is>
      </c>
      <c r="V769" t="inlineStr">
        <is>
          <t>2003-06-17</t>
        </is>
      </c>
      <c r="W769" t="inlineStr">
        <is>
          <t>1999-09-16</t>
        </is>
      </c>
      <c r="X769" t="inlineStr">
        <is>
          <t>1999-09-16</t>
        </is>
      </c>
      <c r="Y769" t="n">
        <v>71</v>
      </c>
      <c r="Z769" t="n">
        <v>64</v>
      </c>
      <c r="AA769" t="n">
        <v>289</v>
      </c>
      <c r="AB769" t="n">
        <v>1</v>
      </c>
      <c r="AC769" t="n">
        <v>2</v>
      </c>
      <c r="AD769" t="n">
        <v>4</v>
      </c>
      <c r="AE769" t="n">
        <v>11</v>
      </c>
      <c r="AF769" t="n">
        <v>1</v>
      </c>
      <c r="AG769" t="n">
        <v>3</v>
      </c>
      <c r="AH769" t="n">
        <v>2</v>
      </c>
      <c r="AI769" t="n">
        <v>3</v>
      </c>
      <c r="AJ769" t="n">
        <v>2</v>
      </c>
      <c r="AK769" t="n">
        <v>8</v>
      </c>
      <c r="AL769" t="n">
        <v>0</v>
      </c>
      <c r="AM769" t="n">
        <v>0</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HYPERLINK("https://creighton-primo.hosted.exlibrisgroup.com/primo-explore/search?tab=default_tab&amp;search_scope=EVERYTHING&amp;vid=01CRU&amp;lang=en_US&amp;offset=0&amp;query=any,contains,991002935369702656","Catalog Record")</f>
        <v/>
      </c>
      <c r="AT769">
        <f>HYPERLINK("http://www.worldcat.org/oclc/39045193","WorldCat Record")</f>
        <v/>
      </c>
      <c r="AU769" t="inlineStr">
        <is>
          <t>466132:eng</t>
        </is>
      </c>
      <c r="AV769" t="inlineStr">
        <is>
          <t>39045193</t>
        </is>
      </c>
      <c r="AW769" t="inlineStr">
        <is>
          <t>991002935369702656</t>
        </is>
      </c>
      <c r="AX769" t="inlineStr">
        <is>
          <t>991002935369702656</t>
        </is>
      </c>
      <c r="AY769" t="inlineStr">
        <is>
          <t>2269441880002656</t>
        </is>
      </c>
      <c r="AZ769" t="inlineStr">
        <is>
          <t>BOOK</t>
        </is>
      </c>
      <c r="BB769" t="inlineStr">
        <is>
          <t>9780809138173</t>
        </is>
      </c>
      <c r="BC769" t="inlineStr">
        <is>
          <t>32285003589248</t>
        </is>
      </c>
      <c r="BD769" t="inlineStr">
        <is>
          <t>893692184</t>
        </is>
      </c>
    </row>
    <row r="770">
      <c r="A770" t="inlineStr">
        <is>
          <t>No</t>
        </is>
      </c>
      <c r="B770" t="inlineStr">
        <is>
          <t>BV4813 .F73 1987</t>
        </is>
      </c>
      <c r="C770" t="inlineStr">
        <is>
          <t>0                      BV 4813000F  73          1987</t>
        </is>
      </c>
      <c r="D770" t="inlineStr">
        <is>
          <t>Light within : the inner path of meditation / Laurence Freeman ; foreword by Yehudi Menuhin.</t>
        </is>
      </c>
      <c r="F770" t="inlineStr">
        <is>
          <t>No</t>
        </is>
      </c>
      <c r="G770" t="inlineStr">
        <is>
          <t>1</t>
        </is>
      </c>
      <c r="H770" t="inlineStr">
        <is>
          <t>No</t>
        </is>
      </c>
      <c r="I770" t="inlineStr">
        <is>
          <t>No</t>
        </is>
      </c>
      <c r="J770" t="inlineStr">
        <is>
          <t>0</t>
        </is>
      </c>
      <c r="K770" t="inlineStr">
        <is>
          <t>Freeman, Laurence.</t>
        </is>
      </c>
      <c r="L770" t="inlineStr">
        <is>
          <t>New York : Crossroad, 1987, c1986.</t>
        </is>
      </c>
      <c r="M770" t="inlineStr">
        <is>
          <t>1987</t>
        </is>
      </c>
      <c r="O770" t="inlineStr">
        <is>
          <t>eng</t>
        </is>
      </c>
      <c r="P770" t="inlineStr">
        <is>
          <t>nyu</t>
        </is>
      </c>
      <c r="R770" t="inlineStr">
        <is>
          <t xml:space="preserve">BV </t>
        </is>
      </c>
      <c r="S770" t="n">
        <v>10</v>
      </c>
      <c r="T770" t="n">
        <v>10</v>
      </c>
      <c r="U770" t="inlineStr">
        <is>
          <t>1994-09-29</t>
        </is>
      </c>
      <c r="V770" t="inlineStr">
        <is>
          <t>1994-09-29</t>
        </is>
      </c>
      <c r="W770" t="inlineStr">
        <is>
          <t>1992-03-09</t>
        </is>
      </c>
      <c r="X770" t="inlineStr">
        <is>
          <t>1992-03-09</t>
        </is>
      </c>
      <c r="Y770" t="n">
        <v>138</v>
      </c>
      <c r="Z770" t="n">
        <v>118</v>
      </c>
      <c r="AA770" t="n">
        <v>135</v>
      </c>
      <c r="AB770" t="n">
        <v>2</v>
      </c>
      <c r="AC770" t="n">
        <v>2</v>
      </c>
      <c r="AD770" t="n">
        <v>9</v>
      </c>
      <c r="AE770" t="n">
        <v>9</v>
      </c>
      <c r="AF770" t="n">
        <v>1</v>
      </c>
      <c r="AG770" t="n">
        <v>1</v>
      </c>
      <c r="AH770" t="n">
        <v>2</v>
      </c>
      <c r="AI770" t="n">
        <v>2</v>
      </c>
      <c r="AJ770" t="n">
        <v>7</v>
      </c>
      <c r="AK770" t="n">
        <v>7</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HYPERLINK("https://creighton-primo.hosted.exlibrisgroup.com/primo-explore/search?tab=default_tab&amp;search_scope=EVERYTHING&amp;vid=01CRU&amp;lang=en_US&amp;offset=0&amp;query=any,contains,991000850249702656","Catalog Record")</f>
        <v/>
      </c>
      <c r="AT770">
        <f>HYPERLINK("http://www.worldcat.org/oclc/13581914","WorldCat Record")</f>
        <v/>
      </c>
      <c r="AU770" t="inlineStr">
        <is>
          <t>628079:eng</t>
        </is>
      </c>
      <c r="AV770" t="inlineStr">
        <is>
          <t>13581914</t>
        </is>
      </c>
      <c r="AW770" t="inlineStr">
        <is>
          <t>991000850249702656</t>
        </is>
      </c>
      <c r="AX770" t="inlineStr">
        <is>
          <t>991000850249702656</t>
        </is>
      </c>
      <c r="AY770" t="inlineStr">
        <is>
          <t>2259485320002656</t>
        </is>
      </c>
      <c r="AZ770" t="inlineStr">
        <is>
          <t>BOOK</t>
        </is>
      </c>
      <c r="BB770" t="inlineStr">
        <is>
          <t>9780824507855</t>
        </is>
      </c>
      <c r="BC770" t="inlineStr">
        <is>
          <t>32285000968833</t>
        </is>
      </c>
      <c r="BD770" t="inlineStr">
        <is>
          <t>893315294</t>
        </is>
      </c>
    </row>
    <row r="771">
      <c r="A771" t="inlineStr">
        <is>
          <t>No</t>
        </is>
      </c>
      <c r="B771" t="inlineStr">
        <is>
          <t>BV4813 .H38</t>
        </is>
      </c>
      <c r="C771" t="inlineStr">
        <is>
          <t>0                      BV 4813000H  38</t>
        </is>
      </c>
      <c r="D771" t="inlineStr">
        <is>
          <t>Beyond TM : a practical guide to the lost traditions of Christian meditation / Marilyn Morgan Helleberg.</t>
        </is>
      </c>
      <c r="F771" t="inlineStr">
        <is>
          <t>No</t>
        </is>
      </c>
      <c r="G771" t="inlineStr">
        <is>
          <t>1</t>
        </is>
      </c>
      <c r="H771" t="inlineStr">
        <is>
          <t>No</t>
        </is>
      </c>
      <c r="I771" t="inlineStr">
        <is>
          <t>No</t>
        </is>
      </c>
      <c r="J771" t="inlineStr">
        <is>
          <t>0</t>
        </is>
      </c>
      <c r="K771" t="inlineStr">
        <is>
          <t>Helleberg, Marilyn M.</t>
        </is>
      </c>
      <c r="L771" t="inlineStr">
        <is>
          <t>New York : Paulist Press, c1980.</t>
        </is>
      </c>
      <c r="M771" t="inlineStr">
        <is>
          <t>1980</t>
        </is>
      </c>
      <c r="O771" t="inlineStr">
        <is>
          <t>eng</t>
        </is>
      </c>
      <c r="P771" t="inlineStr">
        <is>
          <t>nyu</t>
        </is>
      </c>
      <c r="R771" t="inlineStr">
        <is>
          <t xml:space="preserve">BV </t>
        </is>
      </c>
      <c r="S771" t="n">
        <v>6</v>
      </c>
      <c r="T771" t="n">
        <v>6</v>
      </c>
      <c r="U771" t="inlineStr">
        <is>
          <t>2005-02-04</t>
        </is>
      </c>
      <c r="V771" t="inlineStr">
        <is>
          <t>2005-02-04</t>
        </is>
      </c>
      <c r="W771" t="inlineStr">
        <is>
          <t>1992-03-09</t>
        </is>
      </c>
      <c r="X771" t="inlineStr">
        <is>
          <t>1992-03-09</t>
        </is>
      </c>
      <c r="Y771" t="n">
        <v>177</v>
      </c>
      <c r="Z771" t="n">
        <v>161</v>
      </c>
      <c r="AA771" t="n">
        <v>163</v>
      </c>
      <c r="AB771" t="n">
        <v>5</v>
      </c>
      <c r="AC771" t="n">
        <v>5</v>
      </c>
      <c r="AD771" t="n">
        <v>11</v>
      </c>
      <c r="AE771" t="n">
        <v>11</v>
      </c>
      <c r="AF771" t="n">
        <v>1</v>
      </c>
      <c r="AG771" t="n">
        <v>1</v>
      </c>
      <c r="AH771" t="n">
        <v>3</v>
      </c>
      <c r="AI771" t="n">
        <v>3</v>
      </c>
      <c r="AJ771" t="n">
        <v>6</v>
      </c>
      <c r="AK771" t="n">
        <v>6</v>
      </c>
      <c r="AL771" t="n">
        <v>2</v>
      </c>
      <c r="AM771" t="n">
        <v>2</v>
      </c>
      <c r="AN771" t="n">
        <v>0</v>
      </c>
      <c r="AO771" t="n">
        <v>0</v>
      </c>
      <c r="AP771" t="inlineStr">
        <is>
          <t>No</t>
        </is>
      </c>
      <c r="AQ771" t="inlineStr">
        <is>
          <t>Yes</t>
        </is>
      </c>
      <c r="AR771">
        <f>HYPERLINK("http://catalog.hathitrust.org/Record/009759714","HathiTrust Record")</f>
        <v/>
      </c>
      <c r="AS771">
        <f>HYPERLINK("https://creighton-primo.hosted.exlibrisgroup.com/primo-explore/search?tab=default_tab&amp;search_scope=EVERYTHING&amp;vid=01CRU&amp;lang=en_US&amp;offset=0&amp;query=any,contains,991005110789702656","Catalog Record")</f>
        <v/>
      </c>
      <c r="AT771">
        <f>HYPERLINK("http://www.worldcat.org/oclc/7423265","WorldCat Record")</f>
        <v/>
      </c>
      <c r="AU771" t="inlineStr">
        <is>
          <t>1150961151:eng</t>
        </is>
      </c>
      <c r="AV771" t="inlineStr">
        <is>
          <t>7423265</t>
        </is>
      </c>
      <c r="AW771" t="inlineStr">
        <is>
          <t>991005110789702656</t>
        </is>
      </c>
      <c r="AX771" t="inlineStr">
        <is>
          <t>991005110789702656</t>
        </is>
      </c>
      <c r="AY771" t="inlineStr">
        <is>
          <t>2272707480002656</t>
        </is>
      </c>
      <c r="AZ771" t="inlineStr">
        <is>
          <t>BOOK</t>
        </is>
      </c>
      <c r="BB771" t="inlineStr">
        <is>
          <t>9780809123254</t>
        </is>
      </c>
      <c r="BC771" t="inlineStr">
        <is>
          <t>32285000968841</t>
        </is>
      </c>
      <c r="BD771" t="inlineStr">
        <is>
          <t>893338520</t>
        </is>
      </c>
    </row>
    <row r="772">
      <c r="A772" t="inlineStr">
        <is>
          <t>No</t>
        </is>
      </c>
      <c r="B772" t="inlineStr">
        <is>
          <t>BV4813 .K4 1994</t>
        </is>
      </c>
      <c r="C772" t="inlineStr">
        <is>
          <t>0                      BV 4813000K  4           1994</t>
        </is>
      </c>
      <c r="D772" t="inlineStr">
        <is>
          <t>Finding God : a handbook of Christian meditation / Ken Kaisch.</t>
        </is>
      </c>
      <c r="F772" t="inlineStr">
        <is>
          <t>No</t>
        </is>
      </c>
      <c r="G772" t="inlineStr">
        <is>
          <t>1</t>
        </is>
      </c>
      <c r="H772" t="inlineStr">
        <is>
          <t>No</t>
        </is>
      </c>
      <c r="I772" t="inlineStr">
        <is>
          <t>No</t>
        </is>
      </c>
      <c r="J772" t="inlineStr">
        <is>
          <t>0</t>
        </is>
      </c>
      <c r="K772" t="inlineStr">
        <is>
          <t>Kaisch, Ken, 1948-</t>
        </is>
      </c>
      <c r="L772" t="inlineStr">
        <is>
          <t>New York : Paulist Press, c1994.</t>
        </is>
      </c>
      <c r="M772" t="inlineStr">
        <is>
          <t>1994</t>
        </is>
      </c>
      <c r="O772" t="inlineStr">
        <is>
          <t>eng</t>
        </is>
      </c>
      <c r="P772" t="inlineStr">
        <is>
          <t>nyu</t>
        </is>
      </c>
      <c r="R772" t="inlineStr">
        <is>
          <t xml:space="preserve">BV </t>
        </is>
      </c>
      <c r="S772" t="n">
        <v>2</v>
      </c>
      <c r="T772" t="n">
        <v>2</v>
      </c>
      <c r="U772" t="inlineStr">
        <is>
          <t>1996-10-04</t>
        </is>
      </c>
      <c r="V772" t="inlineStr">
        <is>
          <t>1996-10-04</t>
        </is>
      </c>
      <c r="W772" t="inlineStr">
        <is>
          <t>1995-06-29</t>
        </is>
      </c>
      <c r="X772" t="inlineStr">
        <is>
          <t>1995-06-29</t>
        </is>
      </c>
      <c r="Y772" t="n">
        <v>94</v>
      </c>
      <c r="Z772" t="n">
        <v>77</v>
      </c>
      <c r="AA772" t="n">
        <v>77</v>
      </c>
      <c r="AB772" t="n">
        <v>1</v>
      </c>
      <c r="AC772" t="n">
        <v>1</v>
      </c>
      <c r="AD772" t="n">
        <v>8</v>
      </c>
      <c r="AE772" t="n">
        <v>8</v>
      </c>
      <c r="AF772" t="n">
        <v>2</v>
      </c>
      <c r="AG772" t="n">
        <v>2</v>
      </c>
      <c r="AH772" t="n">
        <v>3</v>
      </c>
      <c r="AI772" t="n">
        <v>3</v>
      </c>
      <c r="AJ772" t="n">
        <v>5</v>
      </c>
      <c r="AK772" t="n">
        <v>5</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HYPERLINK("https://creighton-primo.hosted.exlibrisgroup.com/primo-explore/search?tab=default_tab&amp;search_scope=EVERYTHING&amp;vid=01CRU&amp;lang=en_US&amp;offset=0&amp;query=any,contains,991002383359702656","Catalog Record")</f>
        <v/>
      </c>
      <c r="AT772">
        <f>HYPERLINK("http://www.worldcat.org/oclc/30974765","WorldCat Record")</f>
        <v/>
      </c>
      <c r="AU772" t="inlineStr">
        <is>
          <t>32938618:eng</t>
        </is>
      </c>
      <c r="AV772" t="inlineStr">
        <is>
          <t>30974765</t>
        </is>
      </c>
      <c r="AW772" t="inlineStr">
        <is>
          <t>991002383359702656</t>
        </is>
      </c>
      <c r="AX772" t="inlineStr">
        <is>
          <t>991002383359702656</t>
        </is>
      </c>
      <c r="AY772" t="inlineStr">
        <is>
          <t>2259972790002656</t>
        </is>
      </c>
      <c r="AZ772" t="inlineStr">
        <is>
          <t>BOOK</t>
        </is>
      </c>
      <c r="BB772" t="inlineStr">
        <is>
          <t>9780809135295</t>
        </is>
      </c>
      <c r="BC772" t="inlineStr">
        <is>
          <t>32285002052966</t>
        </is>
      </c>
      <c r="BD772" t="inlineStr">
        <is>
          <t>893322861</t>
        </is>
      </c>
    </row>
    <row r="773">
      <c r="A773" t="inlineStr">
        <is>
          <t>No</t>
        </is>
      </c>
      <c r="B773" t="inlineStr">
        <is>
          <t>BV4813 .K44 1976</t>
        </is>
      </c>
      <c r="C773" t="inlineStr">
        <is>
          <t>0                      BV 4813000K  44          1976</t>
        </is>
      </c>
      <c r="D773" t="inlineStr">
        <is>
          <t>The other side of silence : a guide to Christian meditation / Morton T. Kelsey.</t>
        </is>
      </c>
      <c r="F773" t="inlineStr">
        <is>
          <t>No</t>
        </is>
      </c>
      <c r="G773" t="inlineStr">
        <is>
          <t>1</t>
        </is>
      </c>
      <c r="H773" t="inlineStr">
        <is>
          <t>No</t>
        </is>
      </c>
      <c r="I773" t="inlineStr">
        <is>
          <t>No</t>
        </is>
      </c>
      <c r="J773" t="inlineStr">
        <is>
          <t>0</t>
        </is>
      </c>
      <c r="K773" t="inlineStr">
        <is>
          <t>Kelsey, Morton T.</t>
        </is>
      </c>
      <c r="L773" t="inlineStr">
        <is>
          <t>New York : Paulist Press, c1976.</t>
        </is>
      </c>
      <c r="M773" t="inlineStr">
        <is>
          <t>1976</t>
        </is>
      </c>
      <c r="O773" t="inlineStr">
        <is>
          <t>eng</t>
        </is>
      </c>
      <c r="P773" t="inlineStr">
        <is>
          <t>nyu</t>
        </is>
      </c>
      <c r="R773" t="inlineStr">
        <is>
          <t xml:space="preserve">BV </t>
        </is>
      </c>
      <c r="S773" t="n">
        <v>1</v>
      </c>
      <c r="T773" t="n">
        <v>1</v>
      </c>
      <c r="U773" t="inlineStr">
        <is>
          <t>2009-07-28</t>
        </is>
      </c>
      <c r="V773" t="inlineStr">
        <is>
          <t>2009-07-28</t>
        </is>
      </c>
      <c r="W773" t="inlineStr">
        <is>
          <t>2009-07-28</t>
        </is>
      </c>
      <c r="X773" t="inlineStr">
        <is>
          <t>2009-07-28</t>
        </is>
      </c>
      <c r="Y773" t="n">
        <v>730</v>
      </c>
      <c r="Z773" t="n">
        <v>637</v>
      </c>
      <c r="AA773" t="n">
        <v>644</v>
      </c>
      <c r="AB773" t="n">
        <v>6</v>
      </c>
      <c r="AC773" t="n">
        <v>6</v>
      </c>
      <c r="AD773" t="n">
        <v>35</v>
      </c>
      <c r="AE773" t="n">
        <v>35</v>
      </c>
      <c r="AF773" t="n">
        <v>15</v>
      </c>
      <c r="AG773" t="n">
        <v>15</v>
      </c>
      <c r="AH773" t="n">
        <v>6</v>
      </c>
      <c r="AI773" t="n">
        <v>6</v>
      </c>
      <c r="AJ773" t="n">
        <v>18</v>
      </c>
      <c r="AK773" t="n">
        <v>18</v>
      </c>
      <c r="AL773" t="n">
        <v>4</v>
      </c>
      <c r="AM773" t="n">
        <v>4</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HYPERLINK("https://creighton-primo.hosted.exlibrisgroup.com/primo-explore/search?tab=default_tab&amp;search_scope=EVERYTHING&amp;vid=01CRU&amp;lang=en_US&amp;offset=0&amp;query=any,contains,991005328529702656","Catalog Record")</f>
        <v/>
      </c>
      <c r="AT773">
        <f>HYPERLINK("http://www.worldcat.org/oclc/2292309","WorldCat Record")</f>
        <v/>
      </c>
      <c r="AU773" t="inlineStr">
        <is>
          <t>466119:eng</t>
        </is>
      </c>
      <c r="AV773" t="inlineStr">
        <is>
          <t>2292309</t>
        </is>
      </c>
      <c r="AW773" t="inlineStr">
        <is>
          <t>991005328529702656</t>
        </is>
      </c>
      <c r="AX773" t="inlineStr">
        <is>
          <t>991005328529702656</t>
        </is>
      </c>
      <c r="AY773" t="inlineStr">
        <is>
          <t>2265203090002656</t>
        </is>
      </c>
      <c r="AZ773" t="inlineStr">
        <is>
          <t>BOOK</t>
        </is>
      </c>
      <c r="BB773" t="inlineStr">
        <is>
          <t>9780809102082</t>
        </is>
      </c>
      <c r="BC773" t="inlineStr">
        <is>
          <t>32285005539209</t>
        </is>
      </c>
      <c r="BD773" t="inlineStr">
        <is>
          <t>893777217</t>
        </is>
      </c>
    </row>
    <row r="774">
      <c r="A774" t="inlineStr">
        <is>
          <t>No</t>
        </is>
      </c>
      <c r="B774" t="inlineStr">
        <is>
          <t>BV4813 .L412 1957</t>
        </is>
      </c>
      <c r="C774" t="inlineStr">
        <is>
          <t>0                      BV 4813000L  412         1957</t>
        </is>
      </c>
      <c r="D774" t="inlineStr">
        <is>
          <t>Methods of mental prayer / by Cardinal Lercaro. [Translation from the original Italian by T. F. Lindsay]</t>
        </is>
      </c>
      <c r="F774" t="inlineStr">
        <is>
          <t>No</t>
        </is>
      </c>
      <c r="G774" t="inlineStr">
        <is>
          <t>1</t>
        </is>
      </c>
      <c r="H774" t="inlineStr">
        <is>
          <t>No</t>
        </is>
      </c>
      <c r="I774" t="inlineStr">
        <is>
          <t>No</t>
        </is>
      </c>
      <c r="J774" t="inlineStr">
        <is>
          <t>0</t>
        </is>
      </c>
      <c r="K774" t="inlineStr">
        <is>
          <t>Lercaro, Giacomo, 1891-1976.</t>
        </is>
      </c>
      <c r="L774" t="inlineStr">
        <is>
          <t>Westminster, Md. : Newman Press, [1957]</t>
        </is>
      </c>
      <c r="M774" t="inlineStr">
        <is>
          <t>1957</t>
        </is>
      </c>
      <c r="O774" t="inlineStr">
        <is>
          <t>eng</t>
        </is>
      </c>
      <c r="P774" t="inlineStr">
        <is>
          <t>mdu</t>
        </is>
      </c>
      <c r="R774" t="inlineStr">
        <is>
          <t xml:space="preserve">BV </t>
        </is>
      </c>
      <c r="S774" t="n">
        <v>2</v>
      </c>
      <c r="T774" t="n">
        <v>2</v>
      </c>
      <c r="U774" t="inlineStr">
        <is>
          <t>2008-06-16</t>
        </is>
      </c>
      <c r="V774" t="inlineStr">
        <is>
          <t>2008-06-16</t>
        </is>
      </c>
      <c r="W774" t="inlineStr">
        <is>
          <t>1992-03-09</t>
        </is>
      </c>
      <c r="X774" t="inlineStr">
        <is>
          <t>1992-03-09</t>
        </is>
      </c>
      <c r="Y774" t="n">
        <v>106</v>
      </c>
      <c r="Z774" t="n">
        <v>101</v>
      </c>
      <c r="AA774" t="n">
        <v>117</v>
      </c>
      <c r="AB774" t="n">
        <v>2</v>
      </c>
      <c r="AC774" t="n">
        <v>3</v>
      </c>
      <c r="AD774" t="n">
        <v>22</v>
      </c>
      <c r="AE774" t="n">
        <v>24</v>
      </c>
      <c r="AF774" t="n">
        <v>7</v>
      </c>
      <c r="AG774" t="n">
        <v>7</v>
      </c>
      <c r="AH774" t="n">
        <v>7</v>
      </c>
      <c r="AI774" t="n">
        <v>8</v>
      </c>
      <c r="AJ774" t="n">
        <v>15</v>
      </c>
      <c r="AK774" t="n">
        <v>17</v>
      </c>
      <c r="AL774" t="n">
        <v>0</v>
      </c>
      <c r="AM774" t="n">
        <v>0</v>
      </c>
      <c r="AN774" t="n">
        <v>0</v>
      </c>
      <c r="AO774" t="n">
        <v>0</v>
      </c>
      <c r="AP774" t="inlineStr">
        <is>
          <t>No</t>
        </is>
      </c>
      <c r="AQ774" t="inlineStr">
        <is>
          <t>Yes</t>
        </is>
      </c>
      <c r="AR774">
        <f>HYPERLINK("http://catalog.hathitrust.org/Record/102581935","HathiTrust Record")</f>
        <v/>
      </c>
      <c r="AS774">
        <f>HYPERLINK("https://creighton-primo.hosted.exlibrisgroup.com/primo-explore/search?tab=default_tab&amp;search_scope=EVERYTHING&amp;vid=01CRU&amp;lang=en_US&amp;offset=0&amp;query=any,contains,991004136119702656","Catalog Record")</f>
        <v/>
      </c>
      <c r="AT774">
        <f>HYPERLINK("http://www.worldcat.org/oclc/2486384","WorldCat Record")</f>
        <v/>
      </c>
      <c r="AU774" t="inlineStr">
        <is>
          <t>7497479:eng</t>
        </is>
      </c>
      <c r="AV774" t="inlineStr">
        <is>
          <t>2486384</t>
        </is>
      </c>
      <c r="AW774" t="inlineStr">
        <is>
          <t>991004136119702656</t>
        </is>
      </c>
      <c r="AX774" t="inlineStr">
        <is>
          <t>991004136119702656</t>
        </is>
      </c>
      <c r="AY774" t="inlineStr">
        <is>
          <t>2260942150002656</t>
        </is>
      </c>
      <c r="AZ774" t="inlineStr">
        <is>
          <t>BOOK</t>
        </is>
      </c>
      <c r="BC774" t="inlineStr">
        <is>
          <t>32285000968866</t>
        </is>
      </c>
      <c r="BD774" t="inlineStr">
        <is>
          <t>893888326</t>
        </is>
      </c>
    </row>
    <row r="775">
      <c r="A775" t="inlineStr">
        <is>
          <t>No</t>
        </is>
      </c>
      <c r="B775" t="inlineStr">
        <is>
          <t>BV4813 .M313 1984</t>
        </is>
      </c>
      <c r="C775" t="inlineStr">
        <is>
          <t>0                      BV 4813000M  313         1984</t>
        </is>
      </c>
      <c r="D775" t="inlineStr">
        <is>
          <t>Moment of Christ : the path of meditation / John Main.</t>
        </is>
      </c>
      <c r="F775" t="inlineStr">
        <is>
          <t>No</t>
        </is>
      </c>
      <c r="G775" t="inlineStr">
        <is>
          <t>1</t>
        </is>
      </c>
      <c r="H775" t="inlineStr">
        <is>
          <t>No</t>
        </is>
      </c>
      <c r="I775" t="inlineStr">
        <is>
          <t>No</t>
        </is>
      </c>
      <c r="J775" t="inlineStr">
        <is>
          <t>0</t>
        </is>
      </c>
      <c r="K775" t="inlineStr">
        <is>
          <t>Main, John, 1926-1982.</t>
        </is>
      </c>
      <c r="L775" t="inlineStr">
        <is>
          <t>New York : Crossroad, 1984.</t>
        </is>
      </c>
      <c r="M775" t="inlineStr">
        <is>
          <t>1984</t>
        </is>
      </c>
      <c r="O775" t="inlineStr">
        <is>
          <t>eng</t>
        </is>
      </c>
      <c r="P775" t="inlineStr">
        <is>
          <t>nyu</t>
        </is>
      </c>
      <c r="R775" t="inlineStr">
        <is>
          <t xml:space="preserve">BV </t>
        </is>
      </c>
      <c r="S775" t="n">
        <v>3</v>
      </c>
      <c r="T775" t="n">
        <v>3</v>
      </c>
      <c r="U775" t="inlineStr">
        <is>
          <t>2005-07-25</t>
        </is>
      </c>
      <c r="V775" t="inlineStr">
        <is>
          <t>2005-07-25</t>
        </is>
      </c>
      <c r="W775" t="inlineStr">
        <is>
          <t>1992-03-09</t>
        </is>
      </c>
      <c r="X775" t="inlineStr">
        <is>
          <t>1992-03-09</t>
        </is>
      </c>
      <c r="Y775" t="n">
        <v>148</v>
      </c>
      <c r="Z775" t="n">
        <v>123</v>
      </c>
      <c r="AA775" t="n">
        <v>158</v>
      </c>
      <c r="AB775" t="n">
        <v>3</v>
      </c>
      <c r="AC775" t="n">
        <v>3</v>
      </c>
      <c r="AD775" t="n">
        <v>11</v>
      </c>
      <c r="AE775" t="n">
        <v>12</v>
      </c>
      <c r="AF775" t="n">
        <v>0</v>
      </c>
      <c r="AG775" t="n">
        <v>0</v>
      </c>
      <c r="AH775" t="n">
        <v>3</v>
      </c>
      <c r="AI775" t="n">
        <v>4</v>
      </c>
      <c r="AJ775" t="n">
        <v>7</v>
      </c>
      <c r="AK775" t="n">
        <v>8</v>
      </c>
      <c r="AL775" t="n">
        <v>1</v>
      </c>
      <c r="AM775" t="n">
        <v>1</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HYPERLINK("https://creighton-primo.hosted.exlibrisgroup.com/primo-explore/search?tab=default_tab&amp;search_scope=EVERYTHING&amp;vid=01CRU&amp;lang=en_US&amp;offset=0&amp;query=any,contains,991000444999702656","Catalog Record")</f>
        <v/>
      </c>
      <c r="AT775">
        <f>HYPERLINK("http://www.worldcat.org/oclc/10849993","WorldCat Record")</f>
        <v/>
      </c>
      <c r="AU775" t="inlineStr">
        <is>
          <t>41663481:eng</t>
        </is>
      </c>
      <c r="AV775" t="inlineStr">
        <is>
          <t>10849993</t>
        </is>
      </c>
      <c r="AW775" t="inlineStr">
        <is>
          <t>991000444999702656</t>
        </is>
      </c>
      <c r="AX775" t="inlineStr">
        <is>
          <t>991000444999702656</t>
        </is>
      </c>
      <c r="AY775" t="inlineStr">
        <is>
          <t>2260416230002656</t>
        </is>
      </c>
      <c r="AZ775" t="inlineStr">
        <is>
          <t>BOOK</t>
        </is>
      </c>
      <c r="BB775" t="inlineStr">
        <is>
          <t>9780824506605</t>
        </is>
      </c>
      <c r="BC775" t="inlineStr">
        <is>
          <t>32285000968908</t>
        </is>
      </c>
      <c r="BD775" t="inlineStr">
        <is>
          <t>893702109</t>
        </is>
      </c>
    </row>
    <row r="776">
      <c r="A776" t="inlineStr">
        <is>
          <t>No</t>
        </is>
      </c>
      <c r="B776" t="inlineStr">
        <is>
          <t>BV4813 .M43 1969</t>
        </is>
      </c>
      <c r="C776" t="inlineStr">
        <is>
          <t>0                      BV 4813000M  43          1969</t>
        </is>
      </c>
      <c r="D776" t="inlineStr">
        <is>
          <t>Contemplative prayer / Thomas Merton.</t>
        </is>
      </c>
      <c r="F776" t="inlineStr">
        <is>
          <t>No</t>
        </is>
      </c>
      <c r="G776" t="inlineStr">
        <is>
          <t>1</t>
        </is>
      </c>
      <c r="H776" t="inlineStr">
        <is>
          <t>No</t>
        </is>
      </c>
      <c r="I776" t="inlineStr">
        <is>
          <t>No</t>
        </is>
      </c>
      <c r="J776" t="inlineStr">
        <is>
          <t>0</t>
        </is>
      </c>
      <c r="K776" t="inlineStr">
        <is>
          <t>Merton, Thomas, 1915-1968.</t>
        </is>
      </c>
      <c r="L776" t="inlineStr">
        <is>
          <t>[New York] : Herder and Herder, [1969]</t>
        </is>
      </c>
      <c r="M776" t="inlineStr">
        <is>
          <t>1969</t>
        </is>
      </c>
      <c r="O776" t="inlineStr">
        <is>
          <t>eng</t>
        </is>
      </c>
      <c r="P776" t="inlineStr">
        <is>
          <t>nyu</t>
        </is>
      </c>
      <c r="R776" t="inlineStr">
        <is>
          <t xml:space="preserve">BV </t>
        </is>
      </c>
      <c r="S776" t="n">
        <v>7</v>
      </c>
      <c r="T776" t="n">
        <v>7</v>
      </c>
      <c r="U776" t="inlineStr">
        <is>
          <t>2007-07-16</t>
        </is>
      </c>
      <c r="V776" t="inlineStr">
        <is>
          <t>2007-07-16</t>
        </is>
      </c>
      <c r="W776" t="inlineStr">
        <is>
          <t>1992-03-09</t>
        </is>
      </c>
      <c r="X776" t="inlineStr">
        <is>
          <t>1992-03-09</t>
        </is>
      </c>
      <c r="Y776" t="n">
        <v>595</v>
      </c>
      <c r="Z776" t="n">
        <v>550</v>
      </c>
      <c r="AA776" t="n">
        <v>1036</v>
      </c>
      <c r="AB776" t="n">
        <v>2</v>
      </c>
      <c r="AC776" t="n">
        <v>6</v>
      </c>
      <c r="AD776" t="n">
        <v>28</v>
      </c>
      <c r="AE776" t="n">
        <v>44</v>
      </c>
      <c r="AF776" t="n">
        <v>10</v>
      </c>
      <c r="AG776" t="n">
        <v>17</v>
      </c>
      <c r="AH776" t="n">
        <v>5</v>
      </c>
      <c r="AI776" t="n">
        <v>9</v>
      </c>
      <c r="AJ776" t="n">
        <v>22</v>
      </c>
      <c r="AK776" t="n">
        <v>26</v>
      </c>
      <c r="AL776" t="n">
        <v>0</v>
      </c>
      <c r="AM776" t="n">
        <v>4</v>
      </c>
      <c r="AN776" t="n">
        <v>0</v>
      </c>
      <c r="AO776" t="n">
        <v>0</v>
      </c>
      <c r="AP776" t="inlineStr">
        <is>
          <t>No</t>
        </is>
      </c>
      <c r="AQ776" t="inlineStr">
        <is>
          <t>Yes</t>
        </is>
      </c>
      <c r="AR776">
        <f>HYPERLINK("http://catalog.hathitrust.org/Record/001414926","HathiTrust Record")</f>
        <v/>
      </c>
      <c r="AS776">
        <f>HYPERLINK("https://creighton-primo.hosted.exlibrisgroup.com/primo-explore/search?tab=default_tab&amp;search_scope=EVERYTHING&amp;vid=01CRU&amp;lang=en_US&amp;offset=0&amp;query=any,contains,991000017989702656","Catalog Record")</f>
        <v/>
      </c>
      <c r="AT776">
        <f>HYPERLINK("http://www.worldcat.org/oclc/16848","WorldCat Record")</f>
        <v/>
      </c>
      <c r="AU776" t="inlineStr">
        <is>
          <t>1139436:eng</t>
        </is>
      </c>
      <c r="AV776" t="inlineStr">
        <is>
          <t>16848</t>
        </is>
      </c>
      <c r="AW776" t="inlineStr">
        <is>
          <t>991000017989702656</t>
        </is>
      </c>
      <c r="AX776" t="inlineStr">
        <is>
          <t>991000017989702656</t>
        </is>
      </c>
      <c r="AY776" t="inlineStr">
        <is>
          <t>2271590520002656</t>
        </is>
      </c>
      <c r="AZ776" t="inlineStr">
        <is>
          <t>BOOK</t>
        </is>
      </c>
      <c r="BC776" t="inlineStr">
        <is>
          <t>32285000968916</t>
        </is>
      </c>
      <c r="BD776" t="inlineStr">
        <is>
          <t>893444162</t>
        </is>
      </c>
    </row>
    <row r="777">
      <c r="A777" t="inlineStr">
        <is>
          <t>No</t>
        </is>
      </c>
      <c r="B777" t="inlineStr">
        <is>
          <t>BV4813 .M87 1976</t>
        </is>
      </c>
      <c r="C777" t="inlineStr">
        <is>
          <t>0                      BV 4813000M  87          1976</t>
        </is>
      </c>
      <c r="D777" t="inlineStr">
        <is>
          <t>A practical guide to spiritual reading / Susan Annette Muto ; with a foreword by Adrian van Kaam.</t>
        </is>
      </c>
      <c r="F777" t="inlineStr">
        <is>
          <t>No</t>
        </is>
      </c>
      <c r="G777" t="inlineStr">
        <is>
          <t>1</t>
        </is>
      </c>
      <c r="H777" t="inlineStr">
        <is>
          <t>No</t>
        </is>
      </c>
      <c r="I777" t="inlineStr">
        <is>
          <t>No</t>
        </is>
      </c>
      <c r="J777" t="inlineStr">
        <is>
          <t>0</t>
        </is>
      </c>
      <c r="K777" t="inlineStr">
        <is>
          <t>Muto, Susan, 1942-</t>
        </is>
      </c>
      <c r="L777" t="inlineStr">
        <is>
          <t>Denville, N.J. : Dimension Books, 1976.</t>
        </is>
      </c>
      <c r="M777" t="inlineStr">
        <is>
          <t>1976</t>
        </is>
      </c>
      <c r="O777" t="inlineStr">
        <is>
          <t>eng</t>
        </is>
      </c>
      <c r="P777" t="inlineStr">
        <is>
          <t xml:space="preserve">xx </t>
        </is>
      </c>
      <c r="R777" t="inlineStr">
        <is>
          <t xml:space="preserve">BV </t>
        </is>
      </c>
      <c r="S777" t="n">
        <v>8</v>
      </c>
      <c r="T777" t="n">
        <v>8</v>
      </c>
      <c r="U777" t="inlineStr">
        <is>
          <t>2008-06-18</t>
        </is>
      </c>
      <c r="V777" t="inlineStr">
        <is>
          <t>2008-06-18</t>
        </is>
      </c>
      <c r="W777" t="inlineStr">
        <is>
          <t>1992-03-09</t>
        </is>
      </c>
      <c r="X777" t="inlineStr">
        <is>
          <t>1992-03-09</t>
        </is>
      </c>
      <c r="Y777" t="n">
        <v>127</v>
      </c>
      <c r="Z777" t="n">
        <v>97</v>
      </c>
      <c r="AA777" t="n">
        <v>153</v>
      </c>
      <c r="AB777" t="n">
        <v>2</v>
      </c>
      <c r="AC777" t="n">
        <v>2</v>
      </c>
      <c r="AD777" t="n">
        <v>14</v>
      </c>
      <c r="AE777" t="n">
        <v>15</v>
      </c>
      <c r="AF777" t="n">
        <v>4</v>
      </c>
      <c r="AG777" t="n">
        <v>4</v>
      </c>
      <c r="AH777" t="n">
        <v>4</v>
      </c>
      <c r="AI777" t="n">
        <v>4</v>
      </c>
      <c r="AJ777" t="n">
        <v>10</v>
      </c>
      <c r="AK777" t="n">
        <v>11</v>
      </c>
      <c r="AL777" t="n">
        <v>0</v>
      </c>
      <c r="AM777" t="n">
        <v>0</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HYPERLINK("https://creighton-primo.hosted.exlibrisgroup.com/primo-explore/search?tab=default_tab&amp;search_scope=EVERYTHING&amp;vid=01CRU&amp;lang=en_US&amp;offset=0&amp;query=any,contains,991004132099702656","Catalog Record")</f>
        <v/>
      </c>
      <c r="AT777">
        <f>HYPERLINK("http://www.worldcat.org/oclc/2472896","WorldCat Record")</f>
        <v/>
      </c>
      <c r="AU777" t="inlineStr">
        <is>
          <t>5104152:eng</t>
        </is>
      </c>
      <c r="AV777" t="inlineStr">
        <is>
          <t>2472896</t>
        </is>
      </c>
      <c r="AW777" t="inlineStr">
        <is>
          <t>991004132099702656</t>
        </is>
      </c>
      <c r="AX777" t="inlineStr">
        <is>
          <t>991004132099702656</t>
        </is>
      </c>
      <c r="AY777" t="inlineStr">
        <is>
          <t>2257717610002656</t>
        </is>
      </c>
      <c r="AZ777" t="inlineStr">
        <is>
          <t>BOOK</t>
        </is>
      </c>
      <c r="BC777" t="inlineStr">
        <is>
          <t>32285000968957</t>
        </is>
      </c>
      <c r="BD777" t="inlineStr">
        <is>
          <t>893446050</t>
        </is>
      </c>
    </row>
    <row r="778">
      <c r="A778" t="inlineStr">
        <is>
          <t>No</t>
        </is>
      </c>
      <c r="B778" t="inlineStr">
        <is>
          <t>BV4813 .P76</t>
        </is>
      </c>
      <c r="C778" t="inlineStr">
        <is>
          <t>0                      BV 4813000P  76</t>
        </is>
      </c>
      <c r="D778" t="inlineStr">
        <is>
          <t>The practice of process meditation : the Intensive Journal way to spiritual experience / by Ira Progoff.</t>
        </is>
      </c>
      <c r="F778" t="inlineStr">
        <is>
          <t>No</t>
        </is>
      </c>
      <c r="G778" t="inlineStr">
        <is>
          <t>1</t>
        </is>
      </c>
      <c r="H778" t="inlineStr">
        <is>
          <t>No</t>
        </is>
      </c>
      <c r="I778" t="inlineStr">
        <is>
          <t>No</t>
        </is>
      </c>
      <c r="J778" t="inlineStr">
        <is>
          <t>0</t>
        </is>
      </c>
      <c r="K778" t="inlineStr">
        <is>
          <t>Progoff, Ira.</t>
        </is>
      </c>
      <c r="L778" t="inlineStr">
        <is>
          <t>New York : Dialogue House Library, 1980.</t>
        </is>
      </c>
      <c r="M778" t="inlineStr">
        <is>
          <t>1980</t>
        </is>
      </c>
      <c r="O778" t="inlineStr">
        <is>
          <t>eng</t>
        </is>
      </c>
      <c r="P778" t="inlineStr">
        <is>
          <t>nyu</t>
        </is>
      </c>
      <c r="R778" t="inlineStr">
        <is>
          <t xml:space="preserve">BV </t>
        </is>
      </c>
      <c r="S778" t="n">
        <v>2</v>
      </c>
      <c r="T778" t="n">
        <v>2</v>
      </c>
      <c r="U778" t="inlineStr">
        <is>
          <t>1992-07-24</t>
        </is>
      </c>
      <c r="V778" t="inlineStr">
        <is>
          <t>1992-07-24</t>
        </is>
      </c>
      <c r="W778" t="inlineStr">
        <is>
          <t>1992-03-09</t>
        </is>
      </c>
      <c r="X778" t="inlineStr">
        <is>
          <t>1992-03-09</t>
        </is>
      </c>
      <c r="Y778" t="n">
        <v>496</v>
      </c>
      <c r="Z778" t="n">
        <v>443</v>
      </c>
      <c r="AA778" t="n">
        <v>455</v>
      </c>
      <c r="AB778" t="n">
        <v>3</v>
      </c>
      <c r="AC778" t="n">
        <v>3</v>
      </c>
      <c r="AD778" t="n">
        <v>22</v>
      </c>
      <c r="AE778" t="n">
        <v>22</v>
      </c>
      <c r="AF778" t="n">
        <v>7</v>
      </c>
      <c r="AG778" t="n">
        <v>7</v>
      </c>
      <c r="AH778" t="n">
        <v>4</v>
      </c>
      <c r="AI778" t="n">
        <v>4</v>
      </c>
      <c r="AJ778" t="n">
        <v>15</v>
      </c>
      <c r="AK778" t="n">
        <v>15</v>
      </c>
      <c r="AL778" t="n">
        <v>0</v>
      </c>
      <c r="AM778" t="n">
        <v>0</v>
      </c>
      <c r="AN778" t="n">
        <v>0</v>
      </c>
      <c r="AO778" t="n">
        <v>0</v>
      </c>
      <c r="AP778" t="inlineStr">
        <is>
          <t>No</t>
        </is>
      </c>
      <c r="AQ778" t="inlineStr">
        <is>
          <t>Yes</t>
        </is>
      </c>
      <c r="AR778">
        <f>HYPERLINK("http://catalog.hathitrust.org/Record/006014253","HathiTrust Record")</f>
        <v/>
      </c>
      <c r="AS778">
        <f>HYPERLINK("https://creighton-primo.hosted.exlibrisgroup.com/primo-explore/search?tab=default_tab&amp;search_scope=EVERYTHING&amp;vid=01CRU&amp;lang=en_US&amp;offset=0&amp;query=any,contains,991005073119702656","Catalog Record")</f>
        <v/>
      </c>
      <c r="AT778">
        <f>HYPERLINK("http://www.worldcat.org/oclc/7064455","WorldCat Record")</f>
        <v/>
      </c>
      <c r="AU778" t="inlineStr">
        <is>
          <t>308386509:eng</t>
        </is>
      </c>
      <c r="AV778" t="inlineStr">
        <is>
          <t>7064455</t>
        </is>
      </c>
      <c r="AW778" t="inlineStr">
        <is>
          <t>991005073119702656</t>
        </is>
      </c>
      <c r="AX778" t="inlineStr">
        <is>
          <t>991005073119702656</t>
        </is>
      </c>
      <c r="AY778" t="inlineStr">
        <is>
          <t>2266613160002656</t>
        </is>
      </c>
      <c r="AZ778" t="inlineStr">
        <is>
          <t>BOOK</t>
        </is>
      </c>
      <c r="BB778" t="inlineStr">
        <is>
          <t>9780879410087</t>
        </is>
      </c>
      <c r="BC778" t="inlineStr">
        <is>
          <t>32285000968973</t>
        </is>
      </c>
      <c r="BD778" t="inlineStr">
        <is>
          <t>893876886</t>
        </is>
      </c>
    </row>
    <row r="779">
      <c r="A779" t="inlineStr">
        <is>
          <t>No</t>
        </is>
      </c>
      <c r="B779" t="inlineStr">
        <is>
          <t>BV4813 .R62 1945</t>
        </is>
      </c>
      <c r="C779" t="inlineStr">
        <is>
          <t>0                      BV 4813000R  62          1945</t>
        </is>
      </c>
      <c r="D779" t="inlineStr">
        <is>
          <t>How to meditate / by John Roothaan. A translation from the Latin, by Louis J. Puhl.</t>
        </is>
      </c>
      <c r="F779" t="inlineStr">
        <is>
          <t>No</t>
        </is>
      </c>
      <c r="G779" t="inlineStr">
        <is>
          <t>1</t>
        </is>
      </c>
      <c r="H779" t="inlineStr">
        <is>
          <t>No</t>
        </is>
      </c>
      <c r="I779" t="inlineStr">
        <is>
          <t>No</t>
        </is>
      </c>
      <c r="J779" t="inlineStr">
        <is>
          <t>0</t>
        </is>
      </c>
      <c r="K779" t="inlineStr">
        <is>
          <t>Roothaan, Joannes Philippus, 1785-1853.</t>
        </is>
      </c>
      <c r="L779" t="inlineStr">
        <is>
          <t>Westminster, Md. : Newman Bookshop, 1945.</t>
        </is>
      </c>
      <c r="M779" t="inlineStr">
        <is>
          <t>1945</t>
        </is>
      </c>
      <c r="O779" t="inlineStr">
        <is>
          <t>eng</t>
        </is>
      </c>
      <c r="P779" t="inlineStr">
        <is>
          <t>___</t>
        </is>
      </c>
      <c r="R779" t="inlineStr">
        <is>
          <t xml:space="preserve">BV </t>
        </is>
      </c>
      <c r="S779" t="n">
        <v>9</v>
      </c>
      <c r="T779" t="n">
        <v>9</v>
      </c>
      <c r="U779" t="inlineStr">
        <is>
          <t>2008-06-16</t>
        </is>
      </c>
      <c r="V779" t="inlineStr">
        <is>
          <t>2008-06-16</t>
        </is>
      </c>
      <c r="W779" t="inlineStr">
        <is>
          <t>1991-11-21</t>
        </is>
      </c>
      <c r="X779" t="inlineStr">
        <is>
          <t>1991-11-21</t>
        </is>
      </c>
      <c r="Y779" t="n">
        <v>41</v>
      </c>
      <c r="Z779" t="n">
        <v>36</v>
      </c>
      <c r="AA779" t="n">
        <v>60</v>
      </c>
      <c r="AB779" t="n">
        <v>1</v>
      </c>
      <c r="AC779" t="n">
        <v>1</v>
      </c>
      <c r="AD779" t="n">
        <v>9</v>
      </c>
      <c r="AE779" t="n">
        <v>14</v>
      </c>
      <c r="AF779" t="n">
        <v>2</v>
      </c>
      <c r="AG779" t="n">
        <v>2</v>
      </c>
      <c r="AH779" t="n">
        <v>2</v>
      </c>
      <c r="AI779" t="n">
        <v>4</v>
      </c>
      <c r="AJ779" t="n">
        <v>7</v>
      </c>
      <c r="AK779" t="n">
        <v>11</v>
      </c>
      <c r="AL779" t="n">
        <v>0</v>
      </c>
      <c r="AM779" t="n">
        <v>0</v>
      </c>
      <c r="AN779" t="n">
        <v>0</v>
      </c>
      <c r="AO779" t="n">
        <v>0</v>
      </c>
      <c r="AP779" t="inlineStr">
        <is>
          <t>No</t>
        </is>
      </c>
      <c r="AQ779" t="inlineStr">
        <is>
          <t>No</t>
        </is>
      </c>
      <c r="AR779">
        <f>HYPERLINK("http://catalog.hathitrust.org/Record/102695190","HathiTrust Record")</f>
        <v/>
      </c>
      <c r="AS779">
        <f>HYPERLINK("https://creighton-primo.hosted.exlibrisgroup.com/primo-explore/search?tab=default_tab&amp;search_scope=EVERYTHING&amp;vid=01CRU&amp;lang=en_US&amp;offset=0&amp;query=any,contains,991003757779702656","Catalog Record")</f>
        <v/>
      </c>
      <c r="AT779">
        <f>HYPERLINK("http://www.worldcat.org/oclc/1441093","WorldCat Record")</f>
        <v/>
      </c>
      <c r="AU779" t="inlineStr">
        <is>
          <t>2121463:eng</t>
        </is>
      </c>
      <c r="AV779" t="inlineStr">
        <is>
          <t>1441093</t>
        </is>
      </c>
      <c r="AW779" t="inlineStr">
        <is>
          <t>991003757779702656</t>
        </is>
      </c>
      <c r="AX779" t="inlineStr">
        <is>
          <t>991003757779702656</t>
        </is>
      </c>
      <c r="AY779" t="inlineStr">
        <is>
          <t>2257594530002656</t>
        </is>
      </c>
      <c r="AZ779" t="inlineStr">
        <is>
          <t>BOOK</t>
        </is>
      </c>
      <c r="BC779" t="inlineStr">
        <is>
          <t>32285000843879</t>
        </is>
      </c>
      <c r="BD779" t="inlineStr">
        <is>
          <t>893330743</t>
        </is>
      </c>
    </row>
    <row r="780">
      <c r="A780" t="inlineStr">
        <is>
          <t>No</t>
        </is>
      </c>
      <c r="B780" t="inlineStr">
        <is>
          <t>BV4813.L4 I5</t>
        </is>
      </c>
      <c r="C780" t="inlineStr">
        <is>
          <t>0                      BV 4813000L  4                  I  5</t>
        </is>
      </c>
      <c r="D780" t="inlineStr">
        <is>
          <t>The interior life / by Jacques Leclercq. Translated from the French by Fergus Murphy.</t>
        </is>
      </c>
      <c r="F780" t="inlineStr">
        <is>
          <t>No</t>
        </is>
      </c>
      <c r="G780" t="inlineStr">
        <is>
          <t>1</t>
        </is>
      </c>
      <c r="H780" t="inlineStr">
        <is>
          <t>No</t>
        </is>
      </c>
      <c r="I780" t="inlineStr">
        <is>
          <t>No</t>
        </is>
      </c>
      <c r="J780" t="inlineStr">
        <is>
          <t>0</t>
        </is>
      </c>
      <c r="K780" t="inlineStr">
        <is>
          <t>Leclercq, Jacques, 1891-1971.</t>
        </is>
      </c>
      <c r="L780" t="inlineStr">
        <is>
          <t>New York : P.J. Kenedy &amp; Sons, [c1961]</t>
        </is>
      </c>
      <c r="M780" t="inlineStr">
        <is>
          <t>1961</t>
        </is>
      </c>
      <c r="O780" t="inlineStr">
        <is>
          <t>eng</t>
        </is>
      </c>
      <c r="P780" t="inlineStr">
        <is>
          <t>___</t>
        </is>
      </c>
      <c r="R780" t="inlineStr">
        <is>
          <t xml:space="preserve">BV </t>
        </is>
      </c>
      <c r="S780" t="n">
        <v>2</v>
      </c>
      <c r="T780" t="n">
        <v>2</v>
      </c>
      <c r="U780" t="inlineStr">
        <is>
          <t>1993-11-07</t>
        </is>
      </c>
      <c r="V780" t="inlineStr">
        <is>
          <t>1993-11-07</t>
        </is>
      </c>
      <c r="W780" t="inlineStr">
        <is>
          <t>1991-10-28</t>
        </is>
      </c>
      <c r="X780" t="inlineStr">
        <is>
          <t>1991-10-28</t>
        </is>
      </c>
      <c r="Y780" t="n">
        <v>124</v>
      </c>
      <c r="Z780" t="n">
        <v>112</v>
      </c>
      <c r="AA780" t="n">
        <v>118</v>
      </c>
      <c r="AB780" t="n">
        <v>2</v>
      </c>
      <c r="AC780" t="n">
        <v>3</v>
      </c>
      <c r="AD780" t="n">
        <v>18</v>
      </c>
      <c r="AE780" t="n">
        <v>18</v>
      </c>
      <c r="AF780" t="n">
        <v>5</v>
      </c>
      <c r="AG780" t="n">
        <v>5</v>
      </c>
      <c r="AH780" t="n">
        <v>6</v>
      </c>
      <c r="AI780" t="n">
        <v>6</v>
      </c>
      <c r="AJ780" t="n">
        <v>15</v>
      </c>
      <c r="AK780" t="n">
        <v>15</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HYPERLINK("https://creighton-primo.hosted.exlibrisgroup.com/primo-explore/search?tab=default_tab&amp;search_scope=EVERYTHING&amp;vid=01CRU&amp;lang=en_US&amp;offset=0&amp;query=any,contains,991003603649702656","Catalog Record")</f>
        <v/>
      </c>
      <c r="AT780">
        <f>HYPERLINK("http://www.worldcat.org/oclc/1182834","WorldCat Record")</f>
        <v/>
      </c>
      <c r="AU780" t="inlineStr">
        <is>
          <t>28999744:eng</t>
        </is>
      </c>
      <c r="AV780" t="inlineStr">
        <is>
          <t>1182834</t>
        </is>
      </c>
      <c r="AW780" t="inlineStr">
        <is>
          <t>991003603649702656</t>
        </is>
      </c>
      <c r="AX780" t="inlineStr">
        <is>
          <t>991003603649702656</t>
        </is>
      </c>
      <c r="AY780" t="inlineStr">
        <is>
          <t>2265184480002656</t>
        </is>
      </c>
      <c r="AZ780" t="inlineStr">
        <is>
          <t>BOOK</t>
        </is>
      </c>
      <c r="BC780" t="inlineStr">
        <is>
          <t>32285000812759</t>
        </is>
      </c>
      <c r="BD780" t="inlineStr">
        <is>
          <t>893428977</t>
        </is>
      </c>
    </row>
    <row r="781">
      <c r="A781" t="inlineStr">
        <is>
          <t>No</t>
        </is>
      </c>
      <c r="B781" t="inlineStr">
        <is>
          <t>BV4815 .C37 2003</t>
        </is>
      </c>
      <c r="C781" t="inlineStr">
        <is>
          <t>0                      BV 4815000C  37          2003</t>
        </is>
      </c>
      <c r="D781" t="inlineStr">
        <is>
          <t>Popular devotional practices : basic questions &amp; answers : a statement of the United States Conference of Catholic Bishops.</t>
        </is>
      </c>
      <c r="F781" t="inlineStr">
        <is>
          <t>No</t>
        </is>
      </c>
      <c r="G781" t="inlineStr">
        <is>
          <t>1</t>
        </is>
      </c>
      <c r="H781" t="inlineStr">
        <is>
          <t>No</t>
        </is>
      </c>
      <c r="I781" t="inlineStr">
        <is>
          <t>No</t>
        </is>
      </c>
      <c r="J781" t="inlineStr">
        <is>
          <t>0</t>
        </is>
      </c>
      <c r="K781" t="inlineStr">
        <is>
          <t>Catholic Church. United States Conference of Catholic Bishops.</t>
        </is>
      </c>
      <c r="L781" t="inlineStr">
        <is>
          <t>Washington, D.C. : USCCB Pub., 2003.</t>
        </is>
      </c>
      <c r="M781" t="inlineStr">
        <is>
          <t>2003</t>
        </is>
      </c>
      <c r="O781" t="inlineStr">
        <is>
          <t>eng</t>
        </is>
      </c>
      <c r="P781" t="inlineStr">
        <is>
          <t>dcu</t>
        </is>
      </c>
      <c r="Q781" t="inlineStr">
        <is>
          <t>Publication ; no. 5-610</t>
        </is>
      </c>
      <c r="R781" t="inlineStr">
        <is>
          <t xml:space="preserve">BV </t>
        </is>
      </c>
      <c r="S781" t="n">
        <v>1</v>
      </c>
      <c r="T781" t="n">
        <v>1</v>
      </c>
      <c r="U781" t="inlineStr">
        <is>
          <t>2004-03-30</t>
        </is>
      </c>
      <c r="V781" t="inlineStr">
        <is>
          <t>2004-03-30</t>
        </is>
      </c>
      <c r="W781" t="inlineStr">
        <is>
          <t>2004-03-30</t>
        </is>
      </c>
      <c r="X781" t="inlineStr">
        <is>
          <t>2004-03-30</t>
        </is>
      </c>
      <c r="Y781" t="n">
        <v>42</v>
      </c>
      <c r="Z781" t="n">
        <v>40</v>
      </c>
      <c r="AA781" t="n">
        <v>45</v>
      </c>
      <c r="AB781" t="n">
        <v>1</v>
      </c>
      <c r="AC781" t="n">
        <v>1</v>
      </c>
      <c r="AD781" t="n">
        <v>6</v>
      </c>
      <c r="AE781" t="n">
        <v>6</v>
      </c>
      <c r="AF781" t="n">
        <v>0</v>
      </c>
      <c r="AG781" t="n">
        <v>0</v>
      </c>
      <c r="AH781" t="n">
        <v>2</v>
      </c>
      <c r="AI781" t="n">
        <v>2</v>
      </c>
      <c r="AJ781" t="n">
        <v>5</v>
      </c>
      <c r="AK781" t="n">
        <v>5</v>
      </c>
      <c r="AL781" t="n">
        <v>0</v>
      </c>
      <c r="AM781" t="n">
        <v>0</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HYPERLINK("https://creighton-primo.hosted.exlibrisgroup.com/primo-explore/search?tab=default_tab&amp;search_scope=EVERYTHING&amp;vid=01CRU&amp;lang=en_US&amp;offset=0&amp;query=any,contains,991004273299702656","Catalog Record")</f>
        <v/>
      </c>
      <c r="AT781">
        <f>HYPERLINK("http://www.worldcat.org/oclc/54516556","WorldCat Record")</f>
        <v/>
      </c>
      <c r="AU781" t="inlineStr">
        <is>
          <t>134791050:eng</t>
        </is>
      </c>
      <c r="AV781" t="inlineStr">
        <is>
          <t>54516556</t>
        </is>
      </c>
      <c r="AW781" t="inlineStr">
        <is>
          <t>991004273299702656</t>
        </is>
      </c>
      <c r="AX781" t="inlineStr">
        <is>
          <t>991004273299702656</t>
        </is>
      </c>
      <c r="AY781" t="inlineStr">
        <is>
          <t>2271155240002656</t>
        </is>
      </c>
      <c r="AZ781" t="inlineStr">
        <is>
          <t>BOOK</t>
        </is>
      </c>
      <c r="BB781" t="inlineStr">
        <is>
          <t>9781574556100</t>
        </is>
      </c>
      <c r="BC781" t="inlineStr">
        <is>
          <t>32285004898051</t>
        </is>
      </c>
      <c r="BD781" t="inlineStr">
        <is>
          <t>893319011</t>
        </is>
      </c>
    </row>
    <row r="782">
      <c r="A782" t="inlineStr">
        <is>
          <t>No</t>
        </is>
      </c>
      <c r="B782" t="inlineStr">
        <is>
          <t>BV4818 .C7 1970</t>
        </is>
      </c>
      <c r="C782" t="inlineStr">
        <is>
          <t>0                      BV 4818000C  7           1970</t>
        </is>
      </c>
      <c r="D782" t="inlineStr">
        <is>
          <t>The Craft of dying : a study in the literary tradition of the Ars moriendi in England / [edited] by Nancy Lee Beaty.</t>
        </is>
      </c>
      <c r="F782" t="inlineStr">
        <is>
          <t>No</t>
        </is>
      </c>
      <c r="G782" t="inlineStr">
        <is>
          <t>1</t>
        </is>
      </c>
      <c r="H782" t="inlineStr">
        <is>
          <t>No</t>
        </is>
      </c>
      <c r="I782" t="inlineStr">
        <is>
          <t>No</t>
        </is>
      </c>
      <c r="J782" t="inlineStr">
        <is>
          <t>0</t>
        </is>
      </c>
      <c r="L782" t="inlineStr">
        <is>
          <t>New Haven : Yale University Press, 1970.</t>
        </is>
      </c>
      <c r="M782" t="inlineStr">
        <is>
          <t>1970</t>
        </is>
      </c>
      <c r="O782" t="inlineStr">
        <is>
          <t>eng</t>
        </is>
      </c>
      <c r="P782" t="inlineStr">
        <is>
          <t>ctu</t>
        </is>
      </c>
      <c r="Q782" t="inlineStr">
        <is>
          <t>Yale studies in English ; 175</t>
        </is>
      </c>
      <c r="R782" t="inlineStr">
        <is>
          <t xml:space="preserve">BV </t>
        </is>
      </c>
      <c r="S782" t="n">
        <v>4</v>
      </c>
      <c r="T782" t="n">
        <v>4</v>
      </c>
      <c r="U782" t="inlineStr">
        <is>
          <t>2006-04-21</t>
        </is>
      </c>
      <c r="V782" t="inlineStr">
        <is>
          <t>2006-04-21</t>
        </is>
      </c>
      <c r="W782" t="inlineStr">
        <is>
          <t>1992-03-09</t>
        </is>
      </c>
      <c r="X782" t="inlineStr">
        <is>
          <t>1992-03-09</t>
        </is>
      </c>
      <c r="Y782" t="n">
        <v>643</v>
      </c>
      <c r="Z782" t="n">
        <v>514</v>
      </c>
      <c r="AA782" t="n">
        <v>514</v>
      </c>
      <c r="AB782" t="n">
        <v>3</v>
      </c>
      <c r="AC782" t="n">
        <v>3</v>
      </c>
      <c r="AD782" t="n">
        <v>27</v>
      </c>
      <c r="AE782" t="n">
        <v>27</v>
      </c>
      <c r="AF782" t="n">
        <v>8</v>
      </c>
      <c r="AG782" t="n">
        <v>8</v>
      </c>
      <c r="AH782" t="n">
        <v>7</v>
      </c>
      <c r="AI782" t="n">
        <v>7</v>
      </c>
      <c r="AJ782" t="n">
        <v>17</v>
      </c>
      <c r="AK782" t="n">
        <v>17</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HYPERLINK("https://creighton-primo.hosted.exlibrisgroup.com/primo-explore/search?tab=default_tab&amp;search_scope=EVERYTHING&amp;vid=01CRU&amp;lang=en_US&amp;offset=0&amp;query=any,contains,991000672569702656","Catalog Record")</f>
        <v/>
      </c>
      <c r="AT782">
        <f>HYPERLINK("http://www.worldcat.org/oclc/119313","WorldCat Record")</f>
        <v/>
      </c>
      <c r="AU782" t="inlineStr">
        <is>
          <t>1239323:eng</t>
        </is>
      </c>
      <c r="AV782" t="inlineStr">
        <is>
          <t>119313</t>
        </is>
      </c>
      <c r="AW782" t="inlineStr">
        <is>
          <t>991000672569702656</t>
        </is>
      </c>
      <c r="AX782" t="inlineStr">
        <is>
          <t>991000672569702656</t>
        </is>
      </c>
      <c r="AY782" t="inlineStr">
        <is>
          <t>2264269550002656</t>
        </is>
      </c>
      <c r="AZ782" t="inlineStr">
        <is>
          <t>BOOK</t>
        </is>
      </c>
      <c r="BB782" t="inlineStr">
        <is>
          <t>9780300013368</t>
        </is>
      </c>
      <c r="BC782" t="inlineStr">
        <is>
          <t>32285000969104</t>
        </is>
      </c>
      <c r="BD782" t="inlineStr">
        <is>
          <t>893419674</t>
        </is>
      </c>
    </row>
    <row r="783">
      <c r="A783" t="inlineStr">
        <is>
          <t>No</t>
        </is>
      </c>
      <c r="B783" t="inlineStr">
        <is>
          <t>BV4818 .D3 1962</t>
        </is>
      </c>
      <c r="C783" t="inlineStr">
        <is>
          <t>0                      BV 4818000D  3           1962</t>
        </is>
      </c>
      <c r="D783" t="inlineStr">
        <is>
          <t>English spiritual writers / edited by Charles Davis. With a foreword by Cardinal Godfrey.</t>
        </is>
      </c>
      <c r="F783" t="inlineStr">
        <is>
          <t>No</t>
        </is>
      </c>
      <c r="G783" t="inlineStr">
        <is>
          <t>1</t>
        </is>
      </c>
      <c r="H783" t="inlineStr">
        <is>
          <t>No</t>
        </is>
      </c>
      <c r="I783" t="inlineStr">
        <is>
          <t>No</t>
        </is>
      </c>
      <c r="J783" t="inlineStr">
        <is>
          <t>0</t>
        </is>
      </c>
      <c r="K783" t="inlineStr">
        <is>
          <t>Davis, Charles, 1923-1999 editor.</t>
        </is>
      </c>
      <c r="L783" t="inlineStr">
        <is>
          <t>New York : Sheed and Ward, [1962, c1961]</t>
        </is>
      </c>
      <c r="M783" t="inlineStr">
        <is>
          <t>1962</t>
        </is>
      </c>
      <c r="O783" t="inlineStr">
        <is>
          <t>eng</t>
        </is>
      </c>
      <c r="P783" t="inlineStr">
        <is>
          <t>___</t>
        </is>
      </c>
      <c r="R783" t="inlineStr">
        <is>
          <t xml:space="preserve">BV </t>
        </is>
      </c>
      <c r="S783" t="n">
        <v>5</v>
      </c>
      <c r="T783" t="n">
        <v>5</v>
      </c>
      <c r="U783" t="inlineStr">
        <is>
          <t>2010-06-03</t>
        </is>
      </c>
      <c r="V783" t="inlineStr">
        <is>
          <t>2010-06-03</t>
        </is>
      </c>
      <c r="W783" t="inlineStr">
        <is>
          <t>1992-03-09</t>
        </is>
      </c>
      <c r="X783" t="inlineStr">
        <is>
          <t>1992-03-09</t>
        </is>
      </c>
      <c r="Y783" t="n">
        <v>326</v>
      </c>
      <c r="Z783" t="n">
        <v>313</v>
      </c>
      <c r="AA783" t="n">
        <v>414</v>
      </c>
      <c r="AB783" t="n">
        <v>6</v>
      </c>
      <c r="AC783" t="n">
        <v>7</v>
      </c>
      <c r="AD783" t="n">
        <v>26</v>
      </c>
      <c r="AE783" t="n">
        <v>33</v>
      </c>
      <c r="AF783" t="n">
        <v>8</v>
      </c>
      <c r="AG783" t="n">
        <v>10</v>
      </c>
      <c r="AH783" t="n">
        <v>7</v>
      </c>
      <c r="AI783" t="n">
        <v>8</v>
      </c>
      <c r="AJ783" t="n">
        <v>15</v>
      </c>
      <c r="AK783" t="n">
        <v>20</v>
      </c>
      <c r="AL783" t="n">
        <v>3</v>
      </c>
      <c r="AM783" t="n">
        <v>4</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HYPERLINK("https://creighton-primo.hosted.exlibrisgroup.com/primo-explore/search?tab=default_tab&amp;search_scope=EVERYTHING&amp;vid=01CRU&amp;lang=en_US&amp;offset=0&amp;query=any,contains,991001933579702656","Catalog Record")</f>
        <v/>
      </c>
      <c r="AT783">
        <f>HYPERLINK("http://www.worldcat.org/oclc/249806","WorldCat Record")</f>
        <v/>
      </c>
      <c r="AU783" t="inlineStr">
        <is>
          <t>1412517:eng</t>
        </is>
      </c>
      <c r="AV783" t="inlineStr">
        <is>
          <t>249806</t>
        </is>
      </c>
      <c r="AW783" t="inlineStr">
        <is>
          <t>991001933579702656</t>
        </is>
      </c>
      <c r="AX783" t="inlineStr">
        <is>
          <t>991001933579702656</t>
        </is>
      </c>
      <c r="AY783" t="inlineStr">
        <is>
          <t>2258507760002656</t>
        </is>
      </c>
      <c r="AZ783" t="inlineStr">
        <is>
          <t>BOOK</t>
        </is>
      </c>
      <c r="BC783" t="inlineStr">
        <is>
          <t>32285000969112</t>
        </is>
      </c>
      <c r="BD783" t="inlineStr">
        <is>
          <t>893427006</t>
        </is>
      </c>
    </row>
    <row r="784">
      <c r="A784" t="inlineStr">
        <is>
          <t>No</t>
        </is>
      </c>
      <c r="B784" t="inlineStr">
        <is>
          <t>BV4821 .A1 1937</t>
        </is>
      </c>
      <c r="C784" t="inlineStr">
        <is>
          <t>0                      BV 4821000A  1           1937</t>
        </is>
      </c>
      <c r="D784" t="inlineStr">
        <is>
          <t>The following of Christ : the spiritual diary of Gerard Groote (1340-1384), founder of the Brethren and sisters of the common life / translated into English from original Netherlandish texts, as edited by James van Ginneken ... by Joseph Malaise.</t>
        </is>
      </c>
      <c r="F784" t="inlineStr">
        <is>
          <t>No</t>
        </is>
      </c>
      <c r="G784" t="inlineStr">
        <is>
          <t>1</t>
        </is>
      </c>
      <c r="H784" t="inlineStr">
        <is>
          <t>No</t>
        </is>
      </c>
      <c r="I784" t="inlineStr">
        <is>
          <t>No</t>
        </is>
      </c>
      <c r="J784" t="inlineStr">
        <is>
          <t>0</t>
        </is>
      </c>
      <c r="K784" t="inlineStr">
        <is>
          <t>Imitatio Christi. English.</t>
        </is>
      </c>
      <c r="L784" t="inlineStr">
        <is>
          <t>New York : American Press, 1937.</t>
        </is>
      </c>
      <c r="M784" t="inlineStr">
        <is>
          <t>1937</t>
        </is>
      </c>
      <c r="N784" t="inlineStr">
        <is>
          <t>1st ed.</t>
        </is>
      </c>
      <c r="O784" t="inlineStr">
        <is>
          <t>eng</t>
        </is>
      </c>
      <c r="P784" t="inlineStr">
        <is>
          <t>nyu</t>
        </is>
      </c>
      <c r="R784" t="inlineStr">
        <is>
          <t xml:space="preserve">BV </t>
        </is>
      </c>
      <c r="S784" t="n">
        <v>1</v>
      </c>
      <c r="T784" t="n">
        <v>1</v>
      </c>
      <c r="U784" t="inlineStr">
        <is>
          <t>2002-05-02</t>
        </is>
      </c>
      <c r="V784" t="inlineStr">
        <is>
          <t>2002-05-02</t>
        </is>
      </c>
      <c r="W784" t="inlineStr">
        <is>
          <t>1990-06-26</t>
        </is>
      </c>
      <c r="X784" t="inlineStr">
        <is>
          <t>1990-06-26</t>
        </is>
      </c>
      <c r="Y784" t="n">
        <v>141</v>
      </c>
      <c r="Z784" t="n">
        <v>133</v>
      </c>
      <c r="AA784" t="n">
        <v>197</v>
      </c>
      <c r="AB784" t="n">
        <v>2</v>
      </c>
      <c r="AC784" t="n">
        <v>3</v>
      </c>
      <c r="AD784" t="n">
        <v>25</v>
      </c>
      <c r="AE784" t="n">
        <v>30</v>
      </c>
      <c r="AF784" t="n">
        <v>9</v>
      </c>
      <c r="AG784" t="n">
        <v>9</v>
      </c>
      <c r="AH784" t="n">
        <v>7</v>
      </c>
      <c r="AI784" t="n">
        <v>8</v>
      </c>
      <c r="AJ784" t="n">
        <v>19</v>
      </c>
      <c r="AK784" t="n">
        <v>24</v>
      </c>
      <c r="AL784" t="n">
        <v>0</v>
      </c>
      <c r="AM784" t="n">
        <v>0</v>
      </c>
      <c r="AN784" t="n">
        <v>0</v>
      </c>
      <c r="AO784" t="n">
        <v>0</v>
      </c>
      <c r="AP784" t="inlineStr">
        <is>
          <t>No</t>
        </is>
      </c>
      <c r="AQ784" t="inlineStr">
        <is>
          <t>Yes</t>
        </is>
      </c>
      <c r="AR784">
        <f>HYPERLINK("http://catalog.hathitrust.org/Record/001414939","HathiTrust Record")</f>
        <v/>
      </c>
      <c r="AS784">
        <f>HYPERLINK("https://creighton-primo.hosted.exlibrisgroup.com/primo-explore/search?tab=default_tab&amp;search_scope=EVERYTHING&amp;vid=01CRU&amp;lang=en_US&amp;offset=0&amp;query=any,contains,991000945909702656","Catalog Record")</f>
        <v/>
      </c>
      <c r="AT784">
        <f>HYPERLINK("http://www.worldcat.org/oclc/14575256","WorldCat Record")</f>
        <v/>
      </c>
      <c r="AU784" t="inlineStr">
        <is>
          <t>8986334663:eng</t>
        </is>
      </c>
      <c r="AV784" t="inlineStr">
        <is>
          <t>14575256</t>
        </is>
      </c>
      <c r="AW784" t="inlineStr">
        <is>
          <t>991000945909702656</t>
        </is>
      </c>
      <c r="AX784" t="inlineStr">
        <is>
          <t>991000945909702656</t>
        </is>
      </c>
      <c r="AY784" t="inlineStr">
        <is>
          <t>2271566070002656</t>
        </is>
      </c>
      <c r="AZ784" t="inlineStr">
        <is>
          <t>BOOK</t>
        </is>
      </c>
      <c r="BC784" t="inlineStr">
        <is>
          <t>32285000215086</t>
        </is>
      </c>
      <c r="BD784" t="inlineStr">
        <is>
          <t>893407674</t>
        </is>
      </c>
    </row>
    <row r="785">
      <c r="A785" t="inlineStr">
        <is>
          <t>No</t>
        </is>
      </c>
      <c r="B785" t="inlineStr">
        <is>
          <t>BV4821 .A1 1954a</t>
        </is>
      </c>
      <c r="C785" t="inlineStr">
        <is>
          <t>0                      BV 4821000A  1           1954a</t>
        </is>
      </c>
      <c r="D785" t="inlineStr">
        <is>
          <t>My Imitation of Christ / [by] Thomas à Kempis. Rev. translation.</t>
        </is>
      </c>
      <c r="F785" t="inlineStr">
        <is>
          <t>No</t>
        </is>
      </c>
      <c r="G785" t="inlineStr">
        <is>
          <t>1</t>
        </is>
      </c>
      <c r="H785" t="inlineStr">
        <is>
          <t>No</t>
        </is>
      </c>
      <c r="I785" t="inlineStr">
        <is>
          <t>No</t>
        </is>
      </c>
      <c r="J785" t="inlineStr">
        <is>
          <t>0</t>
        </is>
      </c>
      <c r="K785" t="inlineStr">
        <is>
          <t>Imitatio Christi. English.</t>
        </is>
      </c>
      <c r="L785" t="inlineStr">
        <is>
          <t>Brooklyn : Confraternity of the Precious Blood, [1954]</t>
        </is>
      </c>
      <c r="M785" t="inlineStr">
        <is>
          <t>1954</t>
        </is>
      </c>
      <c r="O785" t="inlineStr">
        <is>
          <t>eng</t>
        </is>
      </c>
      <c r="P785" t="inlineStr">
        <is>
          <t>nyu</t>
        </is>
      </c>
      <c r="R785" t="inlineStr">
        <is>
          <t xml:space="preserve">BV </t>
        </is>
      </c>
      <c r="S785" t="n">
        <v>8</v>
      </c>
      <c r="T785" t="n">
        <v>8</v>
      </c>
      <c r="U785" t="inlineStr">
        <is>
          <t>2005-07-14</t>
        </is>
      </c>
      <c r="V785" t="inlineStr">
        <is>
          <t>2005-07-14</t>
        </is>
      </c>
      <c r="W785" t="inlineStr">
        <is>
          <t>1992-03-09</t>
        </is>
      </c>
      <c r="X785" t="inlineStr">
        <is>
          <t>1992-03-09</t>
        </is>
      </c>
      <c r="Y785" t="n">
        <v>36</v>
      </c>
      <c r="Z785" t="n">
        <v>36</v>
      </c>
      <c r="AA785" t="n">
        <v>45</v>
      </c>
      <c r="AB785" t="n">
        <v>2</v>
      </c>
      <c r="AC785" t="n">
        <v>2</v>
      </c>
      <c r="AD785" t="n">
        <v>5</v>
      </c>
      <c r="AE785" t="n">
        <v>6</v>
      </c>
      <c r="AF785" t="n">
        <v>1</v>
      </c>
      <c r="AG785" t="n">
        <v>2</v>
      </c>
      <c r="AH785" t="n">
        <v>2</v>
      </c>
      <c r="AI785" t="n">
        <v>2</v>
      </c>
      <c r="AJ785" t="n">
        <v>2</v>
      </c>
      <c r="AK785" t="n">
        <v>3</v>
      </c>
      <c r="AL785" t="n">
        <v>1</v>
      </c>
      <c r="AM785" t="n">
        <v>1</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HYPERLINK("https://creighton-primo.hosted.exlibrisgroup.com/primo-explore/search?tab=default_tab&amp;search_scope=EVERYTHING&amp;vid=01CRU&amp;lang=en_US&amp;offset=0&amp;query=any,contains,991004179529702656","Catalog Record")</f>
        <v/>
      </c>
      <c r="AT785">
        <f>HYPERLINK("http://www.worldcat.org/oclc/2600300","WorldCat Record")</f>
        <v/>
      </c>
      <c r="AU785" t="inlineStr">
        <is>
          <t>2790527305:eng</t>
        </is>
      </c>
      <c r="AV785" t="inlineStr">
        <is>
          <t>2600300</t>
        </is>
      </c>
      <c r="AW785" t="inlineStr">
        <is>
          <t>991004179529702656</t>
        </is>
      </c>
      <c r="AX785" t="inlineStr">
        <is>
          <t>991004179529702656</t>
        </is>
      </c>
      <c r="AY785" t="inlineStr">
        <is>
          <t>2271013240002656</t>
        </is>
      </c>
      <c r="AZ785" t="inlineStr">
        <is>
          <t>BOOK</t>
        </is>
      </c>
      <c r="BC785" t="inlineStr">
        <is>
          <t>32285000969195</t>
        </is>
      </c>
      <c r="BD785" t="inlineStr">
        <is>
          <t>893624442</t>
        </is>
      </c>
    </row>
    <row r="786">
      <c r="A786" t="inlineStr">
        <is>
          <t>No</t>
        </is>
      </c>
      <c r="B786" t="inlineStr">
        <is>
          <t>BV4821 .C7 1887</t>
        </is>
      </c>
      <c r="C786" t="inlineStr">
        <is>
          <t>0                      BV 4821000C  7           1887</t>
        </is>
      </c>
      <c r="D786" t="inlineStr">
        <is>
          <t>Thomas à Kempis : notes of a visit to the scenes in which his life was spent, with some account of the examination of his relics / by Francis Richard Cruise.</t>
        </is>
      </c>
      <c r="F786" t="inlineStr">
        <is>
          <t>No</t>
        </is>
      </c>
      <c r="G786" t="inlineStr">
        <is>
          <t>1</t>
        </is>
      </c>
      <c r="H786" t="inlineStr">
        <is>
          <t>No</t>
        </is>
      </c>
      <c r="I786" t="inlineStr">
        <is>
          <t>No</t>
        </is>
      </c>
      <c r="J786" t="inlineStr">
        <is>
          <t>0</t>
        </is>
      </c>
      <c r="K786" t="inlineStr">
        <is>
          <t>Cruise, Francis Richard, 1834-1912.</t>
        </is>
      </c>
      <c r="L786" t="inlineStr">
        <is>
          <t>London : Kegan Paul, Trench &amp; Co., 1887.</t>
        </is>
      </c>
      <c r="M786" t="inlineStr">
        <is>
          <t>1887</t>
        </is>
      </c>
      <c r="O786" t="inlineStr">
        <is>
          <t>eng</t>
        </is>
      </c>
      <c r="P786" t="inlineStr">
        <is>
          <t>enk</t>
        </is>
      </c>
      <c r="R786" t="inlineStr">
        <is>
          <t xml:space="preserve">BV </t>
        </is>
      </c>
      <c r="S786" t="n">
        <v>1</v>
      </c>
      <c r="T786" t="n">
        <v>1</v>
      </c>
      <c r="U786" t="inlineStr">
        <is>
          <t>2006-02-20</t>
        </is>
      </c>
      <c r="V786" t="inlineStr">
        <is>
          <t>2006-02-20</t>
        </is>
      </c>
      <c r="W786" t="inlineStr">
        <is>
          <t>1992-03-09</t>
        </is>
      </c>
      <c r="X786" t="inlineStr">
        <is>
          <t>1992-03-09</t>
        </is>
      </c>
      <c r="Y786" t="n">
        <v>119</v>
      </c>
      <c r="Z786" t="n">
        <v>88</v>
      </c>
      <c r="AA786" t="n">
        <v>99</v>
      </c>
      <c r="AB786" t="n">
        <v>1</v>
      </c>
      <c r="AC786" t="n">
        <v>1</v>
      </c>
      <c r="AD786" t="n">
        <v>10</v>
      </c>
      <c r="AE786" t="n">
        <v>10</v>
      </c>
      <c r="AF786" t="n">
        <v>2</v>
      </c>
      <c r="AG786" t="n">
        <v>2</v>
      </c>
      <c r="AH786" t="n">
        <v>1</v>
      </c>
      <c r="AI786" t="n">
        <v>1</v>
      </c>
      <c r="AJ786" t="n">
        <v>9</v>
      </c>
      <c r="AK786" t="n">
        <v>9</v>
      </c>
      <c r="AL786" t="n">
        <v>0</v>
      </c>
      <c r="AM786" t="n">
        <v>0</v>
      </c>
      <c r="AN786" t="n">
        <v>0</v>
      </c>
      <c r="AO786" t="n">
        <v>0</v>
      </c>
      <c r="AP786" t="inlineStr">
        <is>
          <t>Yes</t>
        </is>
      </c>
      <c r="AQ786" t="inlineStr">
        <is>
          <t>No</t>
        </is>
      </c>
      <c r="AR786">
        <f>HYPERLINK("http://catalog.hathitrust.org/Record/100323681","HathiTrust Record")</f>
        <v/>
      </c>
      <c r="AS786">
        <f>HYPERLINK("https://creighton-primo.hosted.exlibrisgroup.com/primo-explore/search?tab=default_tab&amp;search_scope=EVERYTHING&amp;vid=01CRU&amp;lang=en_US&amp;offset=0&amp;query=any,contains,991004258029702656","Catalog Record")</f>
        <v/>
      </c>
      <c r="AT786">
        <f>HYPERLINK("http://www.worldcat.org/oclc/2832697","WorldCat Record")</f>
        <v/>
      </c>
      <c r="AU786" t="inlineStr">
        <is>
          <t>294361951:eng</t>
        </is>
      </c>
      <c r="AV786" t="inlineStr">
        <is>
          <t>2832697</t>
        </is>
      </c>
      <c r="AW786" t="inlineStr">
        <is>
          <t>991004258029702656</t>
        </is>
      </c>
      <c r="AX786" t="inlineStr">
        <is>
          <t>991004258029702656</t>
        </is>
      </c>
      <c r="AY786" t="inlineStr">
        <is>
          <t>2260426400002656</t>
        </is>
      </c>
      <c r="AZ786" t="inlineStr">
        <is>
          <t>BOOK</t>
        </is>
      </c>
      <c r="BC786" t="inlineStr">
        <is>
          <t>32285000969211</t>
        </is>
      </c>
      <c r="BD786" t="inlineStr">
        <is>
          <t>893788487</t>
        </is>
      </c>
    </row>
    <row r="787">
      <c r="A787" t="inlineStr">
        <is>
          <t>No</t>
        </is>
      </c>
      <c r="B787" t="inlineStr">
        <is>
          <t>BV4831 .F7</t>
        </is>
      </c>
      <c r="C787" t="inlineStr">
        <is>
          <t>0                      BV 4831000F  7</t>
        </is>
      </c>
      <c r="D787" t="inlineStr">
        <is>
          <t>The Theologia Germanica of Martin Luther / translation, introd., and commentary by Bengt Hoffman ; pref. by Bengt Hägglund.</t>
        </is>
      </c>
      <c r="F787" t="inlineStr">
        <is>
          <t>No</t>
        </is>
      </c>
      <c r="G787" t="inlineStr">
        <is>
          <t>1</t>
        </is>
      </c>
      <c r="H787" t="inlineStr">
        <is>
          <t>No</t>
        </is>
      </c>
      <c r="I787" t="inlineStr">
        <is>
          <t>No</t>
        </is>
      </c>
      <c r="J787" t="inlineStr">
        <is>
          <t>0</t>
        </is>
      </c>
      <c r="K787" t="inlineStr">
        <is>
          <t>Franckforter.</t>
        </is>
      </c>
      <c r="L787" t="inlineStr">
        <is>
          <t>New York : Paulist Press, c1980.</t>
        </is>
      </c>
      <c r="M787" t="inlineStr">
        <is>
          <t>1980</t>
        </is>
      </c>
      <c r="O787" t="inlineStr">
        <is>
          <t>eng</t>
        </is>
      </c>
      <c r="P787" t="inlineStr">
        <is>
          <t>nyu</t>
        </is>
      </c>
      <c r="Q787" t="inlineStr">
        <is>
          <t>The Classics of Western spirituality</t>
        </is>
      </c>
      <c r="R787" t="inlineStr">
        <is>
          <t xml:space="preserve">BV </t>
        </is>
      </c>
      <c r="S787" t="n">
        <v>5</v>
      </c>
      <c r="T787" t="n">
        <v>5</v>
      </c>
      <c r="U787" t="inlineStr">
        <is>
          <t>1999-07-17</t>
        </is>
      </c>
      <c r="V787" t="inlineStr">
        <is>
          <t>1999-07-17</t>
        </is>
      </c>
      <c r="W787" t="inlineStr">
        <is>
          <t>1992-03-11</t>
        </is>
      </c>
      <c r="X787" t="inlineStr">
        <is>
          <t>1992-03-11</t>
        </is>
      </c>
      <c r="Y787" t="n">
        <v>769</v>
      </c>
      <c r="Z787" t="n">
        <v>686</v>
      </c>
      <c r="AA787" t="n">
        <v>788</v>
      </c>
      <c r="AB787" t="n">
        <v>8</v>
      </c>
      <c r="AC787" t="n">
        <v>8</v>
      </c>
      <c r="AD787" t="n">
        <v>43</v>
      </c>
      <c r="AE787" t="n">
        <v>46</v>
      </c>
      <c r="AF787" t="n">
        <v>18</v>
      </c>
      <c r="AG787" t="n">
        <v>20</v>
      </c>
      <c r="AH787" t="n">
        <v>8</v>
      </c>
      <c r="AI787" t="n">
        <v>8</v>
      </c>
      <c r="AJ787" t="n">
        <v>24</v>
      </c>
      <c r="AK787" t="n">
        <v>25</v>
      </c>
      <c r="AL787" t="n">
        <v>5</v>
      </c>
      <c r="AM787" t="n">
        <v>5</v>
      </c>
      <c r="AN787" t="n">
        <v>0</v>
      </c>
      <c r="AO787" t="n">
        <v>0</v>
      </c>
      <c r="AP787" t="inlineStr">
        <is>
          <t>No</t>
        </is>
      </c>
      <c r="AQ787" t="inlineStr">
        <is>
          <t>Yes</t>
        </is>
      </c>
      <c r="AR787">
        <f>HYPERLINK("http://catalog.hathitrust.org/Record/000808628","HathiTrust Record")</f>
        <v/>
      </c>
      <c r="AS787">
        <f>HYPERLINK("https://creighton-primo.hosted.exlibrisgroup.com/primo-explore/search?tab=default_tab&amp;search_scope=EVERYTHING&amp;vid=01CRU&amp;lang=en_US&amp;offset=0&amp;query=any,contains,991005030239702656","Catalog Record")</f>
        <v/>
      </c>
      <c r="AT787">
        <f>HYPERLINK("http://www.worldcat.org/oclc/6709173","WorldCat Record")</f>
        <v/>
      </c>
      <c r="AU787" t="inlineStr">
        <is>
          <t>5481495878:eng</t>
        </is>
      </c>
      <c r="AV787" t="inlineStr">
        <is>
          <t>6709173</t>
        </is>
      </c>
      <c r="AW787" t="inlineStr">
        <is>
          <t>991005030239702656</t>
        </is>
      </c>
      <c r="AX787" t="inlineStr">
        <is>
          <t>991005030239702656</t>
        </is>
      </c>
      <c r="AY787" t="inlineStr">
        <is>
          <t>2256526010002656</t>
        </is>
      </c>
      <c r="AZ787" t="inlineStr">
        <is>
          <t>BOOK</t>
        </is>
      </c>
      <c r="BB787" t="inlineStr">
        <is>
          <t>9780809103089</t>
        </is>
      </c>
      <c r="BC787" t="inlineStr">
        <is>
          <t>32285000969328</t>
        </is>
      </c>
      <c r="BD787" t="inlineStr">
        <is>
          <t>893332300</t>
        </is>
      </c>
    </row>
    <row r="788">
      <c r="A788" t="inlineStr">
        <is>
          <t>No</t>
        </is>
      </c>
      <c r="B788" t="inlineStr">
        <is>
          <t>BV4831 .H48 1929</t>
        </is>
      </c>
      <c r="C788" t="inlineStr">
        <is>
          <t>0                      BV 4831000H  48          1929</t>
        </is>
      </c>
      <c r="D788" t="inlineStr">
        <is>
          <t>Minor works of Walter Hilton / edited by Dorothy Jones.</t>
        </is>
      </c>
      <c r="F788" t="inlineStr">
        <is>
          <t>No</t>
        </is>
      </c>
      <c r="G788" t="inlineStr">
        <is>
          <t>1</t>
        </is>
      </c>
      <c r="H788" t="inlineStr">
        <is>
          <t>No</t>
        </is>
      </c>
      <c r="I788" t="inlineStr">
        <is>
          <t>No</t>
        </is>
      </c>
      <c r="J788" t="inlineStr">
        <is>
          <t>0</t>
        </is>
      </c>
      <c r="K788" t="inlineStr">
        <is>
          <t>Hilton, Walter, -1396.</t>
        </is>
      </c>
      <c r="L788" t="inlineStr">
        <is>
          <t>New York : Benziger, 1929.</t>
        </is>
      </c>
      <c r="M788" t="inlineStr">
        <is>
          <t>1929</t>
        </is>
      </c>
      <c r="O788" t="inlineStr">
        <is>
          <t>eng</t>
        </is>
      </c>
      <c r="P788" t="inlineStr">
        <is>
          <t xml:space="preserve">xx </t>
        </is>
      </c>
      <c r="Q788" t="inlineStr">
        <is>
          <t>The Orchard books, 17</t>
        </is>
      </c>
      <c r="R788" t="inlineStr">
        <is>
          <t xml:space="preserve">BV </t>
        </is>
      </c>
      <c r="S788" t="n">
        <v>2</v>
      </c>
      <c r="T788" t="n">
        <v>2</v>
      </c>
      <c r="U788" t="inlineStr">
        <is>
          <t>1996-07-09</t>
        </is>
      </c>
      <c r="V788" t="inlineStr">
        <is>
          <t>1996-07-09</t>
        </is>
      </c>
      <c r="W788" t="inlineStr">
        <is>
          <t>1992-03-11</t>
        </is>
      </c>
      <c r="X788" t="inlineStr">
        <is>
          <t>1992-03-11</t>
        </is>
      </c>
      <c r="Y788" t="n">
        <v>27</v>
      </c>
      <c r="Z788" t="n">
        <v>25</v>
      </c>
      <c r="AA788" t="n">
        <v>60</v>
      </c>
      <c r="AB788" t="n">
        <v>1</v>
      </c>
      <c r="AC788" t="n">
        <v>1</v>
      </c>
      <c r="AD788" t="n">
        <v>5</v>
      </c>
      <c r="AE788" t="n">
        <v>7</v>
      </c>
      <c r="AF788" t="n">
        <v>1</v>
      </c>
      <c r="AG788" t="n">
        <v>1</v>
      </c>
      <c r="AH788" t="n">
        <v>0</v>
      </c>
      <c r="AI788" t="n">
        <v>1</v>
      </c>
      <c r="AJ788" t="n">
        <v>4</v>
      </c>
      <c r="AK788" t="n">
        <v>6</v>
      </c>
      <c r="AL788" t="n">
        <v>0</v>
      </c>
      <c r="AM788" t="n">
        <v>0</v>
      </c>
      <c r="AN788" t="n">
        <v>0</v>
      </c>
      <c r="AO788" t="n">
        <v>0</v>
      </c>
      <c r="AP788" t="inlineStr">
        <is>
          <t>No</t>
        </is>
      </c>
      <c r="AQ788" t="inlineStr">
        <is>
          <t>Yes</t>
        </is>
      </c>
      <c r="AR788">
        <f>HYPERLINK("http://catalog.hathitrust.org/Record/006639585","HathiTrust Record")</f>
        <v/>
      </c>
      <c r="AS788">
        <f>HYPERLINK("https://creighton-primo.hosted.exlibrisgroup.com/primo-explore/search?tab=default_tab&amp;search_scope=EVERYTHING&amp;vid=01CRU&amp;lang=en_US&amp;offset=0&amp;query=any,contains,991004576939702656","Catalog Record")</f>
        <v/>
      </c>
      <c r="AT788">
        <f>HYPERLINK("http://www.worldcat.org/oclc/4044567","WorldCat Record")</f>
        <v/>
      </c>
      <c r="AU788" t="inlineStr">
        <is>
          <t>4113491:eng</t>
        </is>
      </c>
      <c r="AV788" t="inlineStr">
        <is>
          <t>4044567</t>
        </is>
      </c>
      <c r="AW788" t="inlineStr">
        <is>
          <t>991004576939702656</t>
        </is>
      </c>
      <c r="AX788" t="inlineStr">
        <is>
          <t>991004576939702656</t>
        </is>
      </c>
      <c r="AY788" t="inlineStr">
        <is>
          <t>2270287290002656</t>
        </is>
      </c>
      <c r="AZ788" t="inlineStr">
        <is>
          <t>BOOK</t>
        </is>
      </c>
      <c r="BC788" t="inlineStr">
        <is>
          <t>32285000969336</t>
        </is>
      </c>
      <c r="BD788" t="inlineStr">
        <is>
          <t>893532550</t>
        </is>
      </c>
    </row>
    <row r="789">
      <c r="A789" t="inlineStr">
        <is>
          <t>No</t>
        </is>
      </c>
      <c r="B789" t="inlineStr">
        <is>
          <t>BV4831 .H5 1979</t>
        </is>
      </c>
      <c r="C789" t="inlineStr">
        <is>
          <t>0                      BV 4831000H  5           1979</t>
        </is>
      </c>
      <c r="D789" t="inlineStr">
        <is>
          <t>The stairway of perfection / by Walter Hilton ; translated with an introd. by M. L. del Mastro.</t>
        </is>
      </c>
      <c r="F789" t="inlineStr">
        <is>
          <t>No</t>
        </is>
      </c>
      <c r="G789" t="inlineStr">
        <is>
          <t>1</t>
        </is>
      </c>
      <c r="H789" t="inlineStr">
        <is>
          <t>No</t>
        </is>
      </c>
      <c r="I789" t="inlineStr">
        <is>
          <t>No</t>
        </is>
      </c>
      <c r="J789" t="inlineStr">
        <is>
          <t>0</t>
        </is>
      </c>
      <c r="K789" t="inlineStr">
        <is>
          <t>Hilton, Walter, -1396.</t>
        </is>
      </c>
      <c r="L789" t="inlineStr">
        <is>
          <t>Garden City, N.Y. : Image Books, 1979.</t>
        </is>
      </c>
      <c r="M789" t="inlineStr">
        <is>
          <t>1979</t>
        </is>
      </c>
      <c r="N789" t="inlineStr">
        <is>
          <t>1st ed.</t>
        </is>
      </c>
      <c r="O789" t="inlineStr">
        <is>
          <t>eng</t>
        </is>
      </c>
      <c r="P789" t="inlineStr">
        <is>
          <t>nyu</t>
        </is>
      </c>
      <c r="R789" t="inlineStr">
        <is>
          <t xml:space="preserve">BV </t>
        </is>
      </c>
      <c r="S789" t="n">
        <v>9</v>
      </c>
      <c r="T789" t="n">
        <v>9</v>
      </c>
      <c r="U789" t="inlineStr">
        <is>
          <t>2010-06-17</t>
        </is>
      </c>
      <c r="V789" t="inlineStr">
        <is>
          <t>2010-06-17</t>
        </is>
      </c>
      <c r="W789" t="inlineStr">
        <is>
          <t>1992-03-11</t>
        </is>
      </c>
      <c r="X789" t="inlineStr">
        <is>
          <t>1992-03-11</t>
        </is>
      </c>
      <c r="Y789" t="n">
        <v>179</v>
      </c>
      <c r="Z789" t="n">
        <v>143</v>
      </c>
      <c r="AA789" t="n">
        <v>591</v>
      </c>
      <c r="AB789" t="n">
        <v>2</v>
      </c>
      <c r="AC789" t="n">
        <v>5</v>
      </c>
      <c r="AD789" t="n">
        <v>16</v>
      </c>
      <c r="AE789" t="n">
        <v>39</v>
      </c>
      <c r="AF789" t="n">
        <v>4</v>
      </c>
      <c r="AG789" t="n">
        <v>18</v>
      </c>
      <c r="AH789" t="n">
        <v>4</v>
      </c>
      <c r="AI789" t="n">
        <v>9</v>
      </c>
      <c r="AJ789" t="n">
        <v>14</v>
      </c>
      <c r="AK789" t="n">
        <v>22</v>
      </c>
      <c r="AL789" t="n">
        <v>0</v>
      </c>
      <c r="AM789" t="n">
        <v>2</v>
      </c>
      <c r="AN789" t="n">
        <v>0</v>
      </c>
      <c r="AO789" t="n">
        <v>0</v>
      </c>
      <c r="AP789" t="inlineStr">
        <is>
          <t>No</t>
        </is>
      </c>
      <c r="AQ789" t="inlineStr">
        <is>
          <t>Yes</t>
        </is>
      </c>
      <c r="AR789">
        <f>HYPERLINK("http://catalog.hathitrust.org/Record/000262440","HathiTrust Record")</f>
        <v/>
      </c>
      <c r="AS789">
        <f>HYPERLINK("https://creighton-primo.hosted.exlibrisgroup.com/primo-explore/search?tab=default_tab&amp;search_scope=EVERYTHING&amp;vid=01CRU&amp;lang=en_US&amp;offset=0&amp;query=any,contains,991004780089702656","Catalog Record")</f>
        <v/>
      </c>
      <c r="AT789">
        <f>HYPERLINK("http://www.worldcat.org/oclc/5103237","WorldCat Record")</f>
        <v/>
      </c>
      <c r="AU789" t="inlineStr">
        <is>
          <t>366364283:eng</t>
        </is>
      </c>
      <c r="AV789" t="inlineStr">
        <is>
          <t>5103237</t>
        </is>
      </c>
      <c r="AW789" t="inlineStr">
        <is>
          <t>991004780089702656</t>
        </is>
      </c>
      <c r="AX789" t="inlineStr">
        <is>
          <t>991004780089702656</t>
        </is>
      </c>
      <c r="AY789" t="inlineStr">
        <is>
          <t>2270635690002656</t>
        </is>
      </c>
      <c r="AZ789" t="inlineStr">
        <is>
          <t>BOOK</t>
        </is>
      </c>
      <c r="BB789" t="inlineStr">
        <is>
          <t>9780385140591</t>
        </is>
      </c>
      <c r="BC789" t="inlineStr">
        <is>
          <t>32285000969344</t>
        </is>
      </c>
      <c r="BD789" t="inlineStr">
        <is>
          <t>893688139</t>
        </is>
      </c>
    </row>
    <row r="790">
      <c r="A790" t="inlineStr">
        <is>
          <t>No</t>
        </is>
      </c>
      <c r="B790" t="inlineStr">
        <is>
          <t>BV4831 .H54 1901</t>
        </is>
      </c>
      <c r="C790" t="inlineStr">
        <is>
          <t>0                      BV 4831000H  54          1901</t>
        </is>
      </c>
      <c r="D790" t="inlineStr">
        <is>
          <t>The scale (or ladder) of perfection / written by Walter Hilton ; with an essay on the spiritual life of mediaeval England by J. B. Dalgairns.</t>
        </is>
      </c>
      <c r="F790" t="inlineStr">
        <is>
          <t>No</t>
        </is>
      </c>
      <c r="G790" t="inlineStr">
        <is>
          <t>1</t>
        </is>
      </c>
      <c r="H790" t="inlineStr">
        <is>
          <t>No</t>
        </is>
      </c>
      <c r="I790" t="inlineStr">
        <is>
          <t>No</t>
        </is>
      </c>
      <c r="J790" t="inlineStr">
        <is>
          <t>0</t>
        </is>
      </c>
      <c r="K790" t="inlineStr">
        <is>
          <t>Hilton, Walter, -1396.</t>
        </is>
      </c>
      <c r="L790" t="inlineStr">
        <is>
          <t>London : Art and Book Co. 1901.</t>
        </is>
      </c>
      <c r="M790" t="inlineStr">
        <is>
          <t>1901</t>
        </is>
      </c>
      <c r="N790" t="inlineStr">
        <is>
          <t>A new ed.</t>
        </is>
      </c>
      <c r="O790" t="inlineStr">
        <is>
          <t>eng</t>
        </is>
      </c>
      <c r="P790" t="inlineStr">
        <is>
          <t>enk</t>
        </is>
      </c>
      <c r="R790" t="inlineStr">
        <is>
          <t xml:space="preserve">BV </t>
        </is>
      </c>
      <c r="S790" t="n">
        <v>1</v>
      </c>
      <c r="T790" t="n">
        <v>1</v>
      </c>
      <c r="U790" t="inlineStr">
        <is>
          <t>2010-06-17</t>
        </is>
      </c>
      <c r="V790" t="inlineStr">
        <is>
          <t>2010-06-17</t>
        </is>
      </c>
      <c r="W790" t="inlineStr">
        <is>
          <t>1992-03-11</t>
        </is>
      </c>
      <c r="X790" t="inlineStr">
        <is>
          <t>1992-03-11</t>
        </is>
      </c>
      <c r="Y790" t="n">
        <v>26</v>
      </c>
      <c r="Z790" t="n">
        <v>21</v>
      </c>
      <c r="AA790" t="n">
        <v>1526</v>
      </c>
      <c r="AB790" t="n">
        <v>1</v>
      </c>
      <c r="AC790" t="n">
        <v>21</v>
      </c>
      <c r="AD790" t="n">
        <v>2</v>
      </c>
      <c r="AE790" t="n">
        <v>52</v>
      </c>
      <c r="AF790" t="n">
        <v>0</v>
      </c>
      <c r="AG790" t="n">
        <v>18</v>
      </c>
      <c r="AH790" t="n">
        <v>1</v>
      </c>
      <c r="AI790" t="n">
        <v>11</v>
      </c>
      <c r="AJ790" t="n">
        <v>1</v>
      </c>
      <c r="AK790" t="n">
        <v>17</v>
      </c>
      <c r="AL790" t="n">
        <v>0</v>
      </c>
      <c r="AM790" t="n">
        <v>14</v>
      </c>
      <c r="AN790" t="n">
        <v>0</v>
      </c>
      <c r="AO790" t="n">
        <v>1</v>
      </c>
      <c r="AP790" t="inlineStr">
        <is>
          <t>Yes</t>
        </is>
      </c>
      <c r="AQ790" t="inlineStr">
        <is>
          <t>No</t>
        </is>
      </c>
      <c r="AR790">
        <f>HYPERLINK("http://catalog.hathitrust.org/Record/012478780","HathiTrust Record")</f>
        <v/>
      </c>
      <c r="AS790">
        <f>HYPERLINK("https://creighton-primo.hosted.exlibrisgroup.com/primo-explore/search?tab=default_tab&amp;search_scope=EVERYTHING&amp;vid=01CRU&amp;lang=en_US&amp;offset=0&amp;query=any,contains,991000199379702656","Catalog Record")</f>
        <v/>
      </c>
      <c r="AT790">
        <f>HYPERLINK("http://www.worldcat.org/oclc/9457268","WorldCat Record")</f>
        <v/>
      </c>
      <c r="AU790" t="inlineStr">
        <is>
          <t>5019290832:eng</t>
        </is>
      </c>
      <c r="AV790" t="inlineStr">
        <is>
          <t>9457268</t>
        </is>
      </c>
      <c r="AW790" t="inlineStr">
        <is>
          <t>991000199379702656</t>
        </is>
      </c>
      <c r="AX790" t="inlineStr">
        <is>
          <t>991000199379702656</t>
        </is>
      </c>
      <c r="AY790" t="inlineStr">
        <is>
          <t>2260226120002656</t>
        </is>
      </c>
      <c r="AZ790" t="inlineStr">
        <is>
          <t>BOOK</t>
        </is>
      </c>
      <c r="BC790" t="inlineStr">
        <is>
          <t>32285000969377</t>
        </is>
      </c>
      <c r="BD790" t="inlineStr">
        <is>
          <t>893896703</t>
        </is>
      </c>
    </row>
    <row r="791">
      <c r="A791" t="inlineStr">
        <is>
          <t>No</t>
        </is>
      </c>
      <c r="B791" t="inlineStr">
        <is>
          <t>BV4831 .J8 1952</t>
        </is>
      </c>
      <c r="C791" t="inlineStr">
        <is>
          <t>0                      BV 4831000J  8           1952</t>
        </is>
      </c>
      <c r="D791" t="inlineStr">
        <is>
          <t>Revelations of divine love : shewed to a devout ankress by name Julian of Norwich / edited from the mss. by Roger Hudleston, with an introd. by the same.</t>
        </is>
      </c>
      <c r="F791" t="inlineStr">
        <is>
          <t>No</t>
        </is>
      </c>
      <c r="G791" t="inlineStr">
        <is>
          <t>1</t>
        </is>
      </c>
      <c r="H791" t="inlineStr">
        <is>
          <t>No</t>
        </is>
      </c>
      <c r="I791" t="inlineStr">
        <is>
          <t>No</t>
        </is>
      </c>
      <c r="J791" t="inlineStr">
        <is>
          <t>0</t>
        </is>
      </c>
      <c r="K791" t="inlineStr">
        <is>
          <t>Julian, of Norwich, 1343-</t>
        </is>
      </c>
      <c r="L791" t="inlineStr">
        <is>
          <t>Westminster, Md. : Newman Press, [1952]</t>
        </is>
      </c>
      <c r="M791" t="inlineStr">
        <is>
          <t>1952</t>
        </is>
      </c>
      <c r="N791" t="inlineStr">
        <is>
          <t>[2d ed.]</t>
        </is>
      </c>
      <c r="O791" t="inlineStr">
        <is>
          <t>eng</t>
        </is>
      </c>
      <c r="P791" t="inlineStr">
        <is>
          <t>mdu</t>
        </is>
      </c>
      <c r="Q791" t="inlineStr">
        <is>
          <t>The Orchard books [11]</t>
        </is>
      </c>
      <c r="R791" t="inlineStr">
        <is>
          <t xml:space="preserve">BV </t>
        </is>
      </c>
      <c r="S791" t="n">
        <v>9</v>
      </c>
      <c r="T791" t="n">
        <v>9</v>
      </c>
      <c r="U791" t="inlineStr">
        <is>
          <t>2010-11-22</t>
        </is>
      </c>
      <c r="V791" t="inlineStr">
        <is>
          <t>2010-11-22</t>
        </is>
      </c>
      <c r="W791" t="inlineStr">
        <is>
          <t>1990-02-02</t>
        </is>
      </c>
      <c r="X791" t="inlineStr">
        <is>
          <t>1990-02-02</t>
        </is>
      </c>
      <c r="Y791" t="n">
        <v>95</v>
      </c>
      <c r="Z791" t="n">
        <v>84</v>
      </c>
      <c r="AA791" t="n">
        <v>156</v>
      </c>
      <c r="AB791" t="n">
        <v>2</v>
      </c>
      <c r="AC791" t="n">
        <v>2</v>
      </c>
      <c r="AD791" t="n">
        <v>12</v>
      </c>
      <c r="AE791" t="n">
        <v>21</v>
      </c>
      <c r="AF791" t="n">
        <v>3</v>
      </c>
      <c r="AG791" t="n">
        <v>6</v>
      </c>
      <c r="AH791" t="n">
        <v>2</v>
      </c>
      <c r="AI791" t="n">
        <v>5</v>
      </c>
      <c r="AJ791" t="n">
        <v>8</v>
      </c>
      <c r="AK791" t="n">
        <v>14</v>
      </c>
      <c r="AL791" t="n">
        <v>1</v>
      </c>
      <c r="AM791" t="n">
        <v>1</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HYPERLINK("https://creighton-primo.hosted.exlibrisgroup.com/primo-explore/search?tab=default_tab&amp;search_scope=EVERYTHING&amp;vid=01CRU&amp;lang=en_US&amp;offset=0&amp;query=any,contains,991003882849702656","Catalog Record")</f>
        <v/>
      </c>
      <c r="AT791">
        <f>HYPERLINK("http://www.worldcat.org/oclc/1732414","WorldCat Record")</f>
        <v/>
      </c>
      <c r="AU791" t="inlineStr">
        <is>
          <t>4820447966:eng</t>
        </is>
      </c>
      <c r="AV791" t="inlineStr">
        <is>
          <t>1732414</t>
        </is>
      </c>
      <c r="AW791" t="inlineStr">
        <is>
          <t>991003882849702656</t>
        </is>
      </c>
      <c r="AX791" t="inlineStr">
        <is>
          <t>991003882849702656</t>
        </is>
      </c>
      <c r="AY791" t="inlineStr">
        <is>
          <t>2255367600002656</t>
        </is>
      </c>
      <c r="AZ791" t="inlineStr">
        <is>
          <t>BOOK</t>
        </is>
      </c>
      <c r="BC791" t="inlineStr">
        <is>
          <t>32285000032002</t>
        </is>
      </c>
      <c r="BD791" t="inlineStr">
        <is>
          <t>893518978</t>
        </is>
      </c>
    </row>
    <row r="792">
      <c r="A792" t="inlineStr">
        <is>
          <t>No</t>
        </is>
      </c>
      <c r="B792" t="inlineStr">
        <is>
          <t>BV4831.C5 C66 1989</t>
        </is>
      </c>
      <c r="C792" t="inlineStr">
        <is>
          <t>0                      BV 4831000C  5                  C  66          1989</t>
        </is>
      </c>
      <c r="D792" t="inlineStr">
        <is>
          <t>The Cloud : reflections on selected texts / Austin Cooper.</t>
        </is>
      </c>
      <c r="F792" t="inlineStr">
        <is>
          <t>No</t>
        </is>
      </c>
      <c r="G792" t="inlineStr">
        <is>
          <t>1</t>
        </is>
      </c>
      <c r="H792" t="inlineStr">
        <is>
          <t>No</t>
        </is>
      </c>
      <c r="I792" t="inlineStr">
        <is>
          <t>No</t>
        </is>
      </c>
      <c r="J792" t="inlineStr">
        <is>
          <t>0</t>
        </is>
      </c>
      <c r="K792" t="inlineStr">
        <is>
          <t>Cooper, Austin.</t>
        </is>
      </c>
      <c r="L792" t="inlineStr">
        <is>
          <t>New York : Alba House, c1989.</t>
        </is>
      </c>
      <c r="M792" t="inlineStr">
        <is>
          <t>1989</t>
        </is>
      </c>
      <c r="O792" t="inlineStr">
        <is>
          <t>eng</t>
        </is>
      </c>
      <c r="P792" t="inlineStr">
        <is>
          <t>nyu</t>
        </is>
      </c>
      <c r="R792" t="inlineStr">
        <is>
          <t xml:space="preserve">BV </t>
        </is>
      </c>
      <c r="S792" t="n">
        <v>1</v>
      </c>
      <c r="T792" t="n">
        <v>1</v>
      </c>
      <c r="U792" t="inlineStr">
        <is>
          <t>1992-07-21</t>
        </is>
      </c>
      <c r="V792" t="inlineStr">
        <is>
          <t>1992-07-21</t>
        </is>
      </c>
      <c r="W792" t="inlineStr">
        <is>
          <t>1991-03-14</t>
        </is>
      </c>
      <c r="X792" t="inlineStr">
        <is>
          <t>1991-03-14</t>
        </is>
      </c>
      <c r="Y792" t="n">
        <v>40</v>
      </c>
      <c r="Z792" t="n">
        <v>31</v>
      </c>
      <c r="AA792" t="n">
        <v>32</v>
      </c>
      <c r="AB792" t="n">
        <v>2</v>
      </c>
      <c r="AC792" t="n">
        <v>2</v>
      </c>
      <c r="AD792" t="n">
        <v>4</v>
      </c>
      <c r="AE792" t="n">
        <v>4</v>
      </c>
      <c r="AF792" t="n">
        <v>0</v>
      </c>
      <c r="AG792" t="n">
        <v>0</v>
      </c>
      <c r="AH792" t="n">
        <v>0</v>
      </c>
      <c r="AI792" t="n">
        <v>0</v>
      </c>
      <c r="AJ792" t="n">
        <v>4</v>
      </c>
      <c r="AK792" t="n">
        <v>4</v>
      </c>
      <c r="AL792" t="n">
        <v>0</v>
      </c>
      <c r="AM792" t="n">
        <v>0</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HYPERLINK("https://creighton-primo.hosted.exlibrisgroup.com/primo-explore/search?tab=default_tab&amp;search_scope=EVERYTHING&amp;vid=01CRU&amp;lang=en_US&amp;offset=0&amp;query=any,contains,991001734579702656","Catalog Record")</f>
        <v/>
      </c>
      <c r="AT792">
        <f>HYPERLINK("http://www.worldcat.org/oclc/21962637","WorldCat Record")</f>
        <v/>
      </c>
      <c r="AU792" t="inlineStr">
        <is>
          <t>23078877:eng</t>
        </is>
      </c>
      <c r="AV792" t="inlineStr">
        <is>
          <t>21962637</t>
        </is>
      </c>
      <c r="AW792" t="inlineStr">
        <is>
          <t>991001734579702656</t>
        </is>
      </c>
      <c r="AX792" t="inlineStr">
        <is>
          <t>991001734579702656</t>
        </is>
      </c>
      <c r="AY792" t="inlineStr">
        <is>
          <t>2269256730002656</t>
        </is>
      </c>
      <c r="AZ792" t="inlineStr">
        <is>
          <t>BOOK</t>
        </is>
      </c>
      <c r="BB792" t="inlineStr">
        <is>
          <t>9780818905735</t>
        </is>
      </c>
      <c r="BC792" t="inlineStr">
        <is>
          <t>32285000512029</t>
        </is>
      </c>
      <c r="BD792" t="inlineStr">
        <is>
          <t>893414427</t>
        </is>
      </c>
    </row>
    <row r="793">
      <c r="A793" t="inlineStr">
        <is>
          <t>No</t>
        </is>
      </c>
      <c r="B793" t="inlineStr">
        <is>
          <t>BV4831.H53 M5</t>
        </is>
      </c>
      <c r="C793" t="inlineStr">
        <is>
          <t>0                      BV 4831000H  53                 M  5</t>
        </is>
      </c>
      <c r="D793" t="inlineStr">
        <is>
          <t>The scale of perfection and the English mystical tradition / [by] Joseph E. Milosh.</t>
        </is>
      </c>
      <c r="F793" t="inlineStr">
        <is>
          <t>No</t>
        </is>
      </c>
      <c r="G793" t="inlineStr">
        <is>
          <t>1</t>
        </is>
      </c>
      <c r="H793" t="inlineStr">
        <is>
          <t>No</t>
        </is>
      </c>
      <c r="I793" t="inlineStr">
        <is>
          <t>No</t>
        </is>
      </c>
      <c r="J793" t="inlineStr">
        <is>
          <t>0</t>
        </is>
      </c>
      <c r="K793" t="inlineStr">
        <is>
          <t>Milosh, Joseph E.</t>
        </is>
      </c>
      <c r="L793" t="inlineStr">
        <is>
          <t>Madison, University of Wisconsin Press, 1966.</t>
        </is>
      </c>
      <c r="M793" t="inlineStr">
        <is>
          <t>1966</t>
        </is>
      </c>
      <c r="O793" t="inlineStr">
        <is>
          <t>eng</t>
        </is>
      </c>
      <c r="P793" t="inlineStr">
        <is>
          <t>wiu</t>
        </is>
      </c>
      <c r="R793" t="inlineStr">
        <is>
          <t xml:space="preserve">BV </t>
        </is>
      </c>
      <c r="S793" t="n">
        <v>6</v>
      </c>
      <c r="T793" t="n">
        <v>6</v>
      </c>
      <c r="U793" t="inlineStr">
        <is>
          <t>2010-06-17</t>
        </is>
      </c>
      <c r="V793" t="inlineStr">
        <is>
          <t>2010-06-17</t>
        </is>
      </c>
      <c r="W793" t="inlineStr">
        <is>
          <t>1992-03-11</t>
        </is>
      </c>
      <c r="X793" t="inlineStr">
        <is>
          <t>1992-03-11</t>
        </is>
      </c>
      <c r="Y793" t="n">
        <v>651</v>
      </c>
      <c r="Z793" t="n">
        <v>560</v>
      </c>
      <c r="AA793" t="n">
        <v>568</v>
      </c>
      <c r="AB793" t="n">
        <v>6</v>
      </c>
      <c r="AC793" t="n">
        <v>6</v>
      </c>
      <c r="AD793" t="n">
        <v>35</v>
      </c>
      <c r="AE793" t="n">
        <v>35</v>
      </c>
      <c r="AF793" t="n">
        <v>11</v>
      </c>
      <c r="AG793" t="n">
        <v>11</v>
      </c>
      <c r="AH793" t="n">
        <v>8</v>
      </c>
      <c r="AI793" t="n">
        <v>8</v>
      </c>
      <c r="AJ793" t="n">
        <v>20</v>
      </c>
      <c r="AK793" t="n">
        <v>20</v>
      </c>
      <c r="AL793" t="n">
        <v>5</v>
      </c>
      <c r="AM793" t="n">
        <v>5</v>
      </c>
      <c r="AN793" t="n">
        <v>0</v>
      </c>
      <c r="AO793" t="n">
        <v>0</v>
      </c>
      <c r="AP793" t="inlineStr">
        <is>
          <t>No</t>
        </is>
      </c>
      <c r="AQ793" t="inlineStr">
        <is>
          <t>Yes</t>
        </is>
      </c>
      <c r="AR793">
        <f>HYPERLINK("http://catalog.hathitrust.org/Record/001414948","HathiTrust Record")</f>
        <v/>
      </c>
      <c r="AS793">
        <f>HYPERLINK("https://creighton-primo.hosted.exlibrisgroup.com/primo-explore/search?tab=default_tab&amp;search_scope=EVERYTHING&amp;vid=01CRU&amp;lang=en_US&amp;offset=0&amp;query=any,contains,991002645099702656","Catalog Record")</f>
        <v/>
      </c>
      <c r="AT793">
        <f>HYPERLINK("http://www.worldcat.org/oclc/385621","WorldCat Record")</f>
        <v/>
      </c>
      <c r="AU793" t="inlineStr">
        <is>
          <t>326402823:eng</t>
        </is>
      </c>
      <c r="AV793" t="inlineStr">
        <is>
          <t>385621</t>
        </is>
      </c>
      <c r="AW793" t="inlineStr">
        <is>
          <t>991002645099702656</t>
        </is>
      </c>
      <c r="AX793" t="inlineStr">
        <is>
          <t>991002645099702656</t>
        </is>
      </c>
      <c r="AY793" t="inlineStr">
        <is>
          <t>2258788590002656</t>
        </is>
      </c>
      <c r="AZ793" t="inlineStr">
        <is>
          <t>BOOK</t>
        </is>
      </c>
      <c r="BC793" t="inlineStr">
        <is>
          <t>32285000969369</t>
        </is>
      </c>
      <c r="BD793" t="inlineStr">
        <is>
          <t>893523868</t>
        </is>
      </c>
    </row>
    <row r="794">
      <c r="A794" t="inlineStr">
        <is>
          <t>No</t>
        </is>
      </c>
      <c r="B794" t="inlineStr">
        <is>
          <t>BV4832 .C48 1935</t>
        </is>
      </c>
      <c r="C794" t="inlineStr">
        <is>
          <t>0                      BV 4832000C  48          1935</t>
        </is>
      </c>
      <c r="D794" t="inlineStr">
        <is>
          <t>The golden book of Oswald Chambers : my utmost for His Highest ; selections for the year.</t>
        </is>
      </c>
      <c r="F794" t="inlineStr">
        <is>
          <t>No</t>
        </is>
      </c>
      <c r="G794" t="inlineStr">
        <is>
          <t>1</t>
        </is>
      </c>
      <c r="H794" t="inlineStr">
        <is>
          <t>No</t>
        </is>
      </c>
      <c r="I794" t="inlineStr">
        <is>
          <t>No</t>
        </is>
      </c>
      <c r="J794" t="inlineStr">
        <is>
          <t>0</t>
        </is>
      </c>
      <c r="K794" t="inlineStr">
        <is>
          <t>Chambers, Oswald, 1874-1917.</t>
        </is>
      </c>
      <c r="L794" t="inlineStr">
        <is>
          <t>New York : Dodd, Mead &amp; company, [1935]</t>
        </is>
      </c>
      <c r="M794" t="inlineStr">
        <is>
          <t>1935</t>
        </is>
      </c>
      <c r="O794" t="inlineStr">
        <is>
          <t>eng</t>
        </is>
      </c>
      <c r="P794" t="inlineStr">
        <is>
          <t>nyu</t>
        </is>
      </c>
      <c r="R794" t="inlineStr">
        <is>
          <t xml:space="preserve">BV </t>
        </is>
      </c>
      <c r="S794" t="n">
        <v>1</v>
      </c>
      <c r="T794" t="n">
        <v>1</v>
      </c>
      <c r="U794" t="inlineStr">
        <is>
          <t>2009-07-28</t>
        </is>
      </c>
      <c r="V794" t="inlineStr">
        <is>
          <t>2009-07-28</t>
        </is>
      </c>
      <c r="W794" t="inlineStr">
        <is>
          <t>2009-07-28</t>
        </is>
      </c>
      <c r="X794" t="inlineStr">
        <is>
          <t>2009-07-28</t>
        </is>
      </c>
      <c r="Y794" t="n">
        <v>258</v>
      </c>
      <c r="Z794" t="n">
        <v>253</v>
      </c>
      <c r="AA794" t="n">
        <v>446</v>
      </c>
      <c r="AB794" t="n">
        <v>2</v>
      </c>
      <c r="AC794" t="n">
        <v>4</v>
      </c>
      <c r="AD794" t="n">
        <v>5</v>
      </c>
      <c r="AE794" t="n">
        <v>8</v>
      </c>
      <c r="AF794" t="n">
        <v>3</v>
      </c>
      <c r="AG794" t="n">
        <v>5</v>
      </c>
      <c r="AH794" t="n">
        <v>1</v>
      </c>
      <c r="AI794" t="n">
        <v>1</v>
      </c>
      <c r="AJ794" t="n">
        <v>1</v>
      </c>
      <c r="AK794" t="n">
        <v>1</v>
      </c>
      <c r="AL794" t="n">
        <v>0</v>
      </c>
      <c r="AM794" t="n">
        <v>1</v>
      </c>
      <c r="AN794" t="n">
        <v>0</v>
      </c>
      <c r="AO794" t="n">
        <v>0</v>
      </c>
      <c r="AP794" t="inlineStr">
        <is>
          <t>No</t>
        </is>
      </c>
      <c r="AQ794" t="inlineStr">
        <is>
          <t>Yes</t>
        </is>
      </c>
      <c r="AR794">
        <f>HYPERLINK("http://catalog.hathitrust.org/Record/101873629","HathiTrust Record")</f>
        <v/>
      </c>
      <c r="AS794">
        <f>HYPERLINK("https://creighton-primo.hosted.exlibrisgroup.com/primo-explore/search?tab=default_tab&amp;search_scope=EVERYTHING&amp;vid=01CRU&amp;lang=en_US&amp;offset=0&amp;query=any,contains,991005328469702656","Catalog Record")</f>
        <v/>
      </c>
      <c r="AT794">
        <f>HYPERLINK("http://www.worldcat.org/oclc/513802","WorldCat Record")</f>
        <v/>
      </c>
      <c r="AU794" t="inlineStr">
        <is>
          <t>3943325847:eng</t>
        </is>
      </c>
      <c r="AV794" t="inlineStr">
        <is>
          <t>513802</t>
        </is>
      </c>
      <c r="AW794" t="inlineStr">
        <is>
          <t>991005328469702656</t>
        </is>
      </c>
      <c r="AX794" t="inlineStr">
        <is>
          <t>991005328469702656</t>
        </is>
      </c>
      <c r="AY794" t="inlineStr">
        <is>
          <t>2262389930002656</t>
        </is>
      </c>
      <c r="AZ794" t="inlineStr">
        <is>
          <t>BOOK</t>
        </is>
      </c>
      <c r="BC794" t="inlineStr">
        <is>
          <t>32285005539423</t>
        </is>
      </c>
      <c r="BD794" t="inlineStr">
        <is>
          <t>893533557</t>
        </is>
      </c>
    </row>
    <row r="795">
      <c r="A795" t="inlineStr">
        <is>
          <t>No</t>
        </is>
      </c>
      <c r="B795" t="inlineStr">
        <is>
          <t>BV4832 .F692 1954</t>
        </is>
      </c>
      <c r="C795" t="inlineStr">
        <is>
          <t>0                      BV 4832000F  692         1954</t>
        </is>
      </c>
      <c r="D795" t="inlineStr">
        <is>
          <t>Two or three together : a manual for prayer groups / by Harold Wiley Freer and Francis B. Hall.</t>
        </is>
      </c>
      <c r="F795" t="inlineStr">
        <is>
          <t>No</t>
        </is>
      </c>
      <c r="G795" t="inlineStr">
        <is>
          <t>1</t>
        </is>
      </c>
      <c r="H795" t="inlineStr">
        <is>
          <t>No</t>
        </is>
      </c>
      <c r="I795" t="inlineStr">
        <is>
          <t>No</t>
        </is>
      </c>
      <c r="J795" t="inlineStr">
        <is>
          <t>0</t>
        </is>
      </c>
      <c r="K795" t="inlineStr">
        <is>
          <t>Freer, Harold Wiley, 1906-</t>
        </is>
      </c>
      <c r="L795" t="inlineStr">
        <is>
          <t>New York : Harper, [1954]</t>
        </is>
      </c>
      <c r="M795" t="inlineStr">
        <is>
          <t>1954</t>
        </is>
      </c>
      <c r="O795" t="inlineStr">
        <is>
          <t>eng</t>
        </is>
      </c>
      <c r="P795" t="inlineStr">
        <is>
          <t>nyu</t>
        </is>
      </c>
      <c r="R795" t="inlineStr">
        <is>
          <t xml:space="preserve">BV </t>
        </is>
      </c>
      <c r="S795" t="n">
        <v>1</v>
      </c>
      <c r="T795" t="n">
        <v>1</v>
      </c>
      <c r="U795" t="inlineStr">
        <is>
          <t>2010-07-01</t>
        </is>
      </c>
      <c r="V795" t="inlineStr">
        <is>
          <t>2010-07-01</t>
        </is>
      </c>
      <c r="W795" t="inlineStr">
        <is>
          <t>2010-07-01</t>
        </is>
      </c>
      <c r="X795" t="inlineStr">
        <is>
          <t>2010-07-01</t>
        </is>
      </c>
      <c r="Y795" t="n">
        <v>247</v>
      </c>
      <c r="Z795" t="n">
        <v>228</v>
      </c>
      <c r="AA795" t="n">
        <v>253</v>
      </c>
      <c r="AB795" t="n">
        <v>5</v>
      </c>
      <c r="AC795" t="n">
        <v>5</v>
      </c>
      <c r="AD795" t="n">
        <v>7</v>
      </c>
      <c r="AE795" t="n">
        <v>8</v>
      </c>
      <c r="AF795" t="n">
        <v>3</v>
      </c>
      <c r="AG795" t="n">
        <v>3</v>
      </c>
      <c r="AH795" t="n">
        <v>1</v>
      </c>
      <c r="AI795" t="n">
        <v>1</v>
      </c>
      <c r="AJ795" t="n">
        <v>1</v>
      </c>
      <c r="AK795" t="n">
        <v>2</v>
      </c>
      <c r="AL795" t="n">
        <v>3</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HYPERLINK("https://creighton-primo.hosted.exlibrisgroup.com/primo-explore/search?tab=default_tab&amp;search_scope=EVERYTHING&amp;vid=01CRU&amp;lang=en_US&amp;offset=0&amp;query=any,contains,991000017049702656","Catalog Record")</f>
        <v/>
      </c>
      <c r="AT795">
        <f>HYPERLINK("http://www.worldcat.org/oclc/1238017","WorldCat Record")</f>
        <v/>
      </c>
      <c r="AU795" t="inlineStr">
        <is>
          <t>2140550:eng</t>
        </is>
      </c>
      <c r="AV795" t="inlineStr">
        <is>
          <t>1238017</t>
        </is>
      </c>
      <c r="AW795" t="inlineStr">
        <is>
          <t>991000017049702656</t>
        </is>
      </c>
      <c r="AX795" t="inlineStr">
        <is>
          <t>991000017049702656</t>
        </is>
      </c>
      <c r="AY795" t="inlineStr">
        <is>
          <t>2264504640002656</t>
        </is>
      </c>
      <c r="AZ795" t="inlineStr">
        <is>
          <t>BOOK</t>
        </is>
      </c>
      <c r="BC795" t="inlineStr">
        <is>
          <t>32285005589345</t>
        </is>
      </c>
      <c r="BD795" t="inlineStr">
        <is>
          <t>893534009</t>
        </is>
      </c>
    </row>
    <row r="796">
      <c r="A796" t="inlineStr">
        <is>
          <t>No</t>
        </is>
      </c>
      <c r="B796" t="inlineStr">
        <is>
          <t>BV4832.2 .B76 1977</t>
        </is>
      </c>
      <c r="C796" t="inlineStr">
        <is>
          <t>0                      BV 4832200B  76          1977</t>
        </is>
      </c>
      <c r="D796" t="inlineStr">
        <is>
          <t>Opening to God : guided imagery meditation on Scripture for individuals and groups / Carolyn Stahl.</t>
        </is>
      </c>
      <c r="F796" t="inlineStr">
        <is>
          <t>No</t>
        </is>
      </c>
      <c r="G796" t="inlineStr">
        <is>
          <t>1</t>
        </is>
      </c>
      <c r="H796" t="inlineStr">
        <is>
          <t>No</t>
        </is>
      </c>
      <c r="I796" t="inlineStr">
        <is>
          <t>No</t>
        </is>
      </c>
      <c r="J796" t="inlineStr">
        <is>
          <t>0</t>
        </is>
      </c>
      <c r="K796" t="inlineStr">
        <is>
          <t>Bohler, Carolyn Stahl, 1948-</t>
        </is>
      </c>
      <c r="L796" t="inlineStr">
        <is>
          <t>Nashville : The Upper Room, c1977.</t>
        </is>
      </c>
      <c r="M796" t="inlineStr">
        <is>
          <t>1977</t>
        </is>
      </c>
      <c r="O796" t="inlineStr">
        <is>
          <t>eng</t>
        </is>
      </c>
      <c r="P796" t="inlineStr">
        <is>
          <t>tnu</t>
        </is>
      </c>
      <c r="R796" t="inlineStr">
        <is>
          <t xml:space="preserve">BV </t>
        </is>
      </c>
      <c r="S796" t="n">
        <v>1</v>
      </c>
      <c r="T796" t="n">
        <v>1</v>
      </c>
      <c r="U796" t="inlineStr">
        <is>
          <t>2007-06-11</t>
        </is>
      </c>
      <c r="V796" t="inlineStr">
        <is>
          <t>2007-06-11</t>
        </is>
      </c>
      <c r="W796" t="inlineStr">
        <is>
          <t>2007-06-11</t>
        </is>
      </c>
      <c r="X796" t="inlineStr">
        <is>
          <t>2007-06-11</t>
        </is>
      </c>
      <c r="Y796" t="n">
        <v>66</v>
      </c>
      <c r="Z796" t="n">
        <v>53</v>
      </c>
      <c r="AA796" t="n">
        <v>94</v>
      </c>
      <c r="AB796" t="n">
        <v>2</v>
      </c>
      <c r="AC796" t="n">
        <v>2</v>
      </c>
      <c r="AD796" t="n">
        <v>3</v>
      </c>
      <c r="AE796" t="n">
        <v>5</v>
      </c>
      <c r="AF796" t="n">
        <v>0</v>
      </c>
      <c r="AG796" t="n">
        <v>2</v>
      </c>
      <c r="AH796" t="n">
        <v>1</v>
      </c>
      <c r="AI796" t="n">
        <v>1</v>
      </c>
      <c r="AJ796" t="n">
        <v>1</v>
      </c>
      <c r="AK796" t="n">
        <v>2</v>
      </c>
      <c r="AL796" t="n">
        <v>1</v>
      </c>
      <c r="AM796" t="n">
        <v>1</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HYPERLINK("https://creighton-primo.hosted.exlibrisgroup.com/primo-explore/search?tab=default_tab&amp;search_scope=EVERYTHING&amp;vid=01CRU&amp;lang=en_US&amp;offset=0&amp;query=any,contains,991005090479702656","Catalog Record")</f>
        <v/>
      </c>
      <c r="AT796">
        <f>HYPERLINK("http://www.worldcat.org/oclc/3631395","WorldCat Record")</f>
        <v/>
      </c>
      <c r="AU796" t="inlineStr">
        <is>
          <t>1863561351:eng</t>
        </is>
      </c>
      <c r="AV796" t="inlineStr">
        <is>
          <t>3631395</t>
        </is>
      </c>
      <c r="AW796" t="inlineStr">
        <is>
          <t>991005090479702656</t>
        </is>
      </c>
      <c r="AX796" t="inlineStr">
        <is>
          <t>991005090479702656</t>
        </is>
      </c>
      <c r="AY796" t="inlineStr">
        <is>
          <t>2259439870002656</t>
        </is>
      </c>
      <c r="AZ796" t="inlineStr">
        <is>
          <t>BOOK</t>
        </is>
      </c>
      <c r="BC796" t="inlineStr">
        <is>
          <t>32285005316335</t>
        </is>
      </c>
      <c r="BD796" t="inlineStr">
        <is>
          <t>893722751</t>
        </is>
      </c>
    </row>
    <row r="797">
      <c r="A797" t="inlineStr">
        <is>
          <t>No</t>
        </is>
      </c>
      <c r="B797" t="inlineStr">
        <is>
          <t>BV4832.2 .F37 1987</t>
        </is>
      </c>
      <c r="C797" t="inlineStr">
        <is>
          <t>0                      BV 4832200F  37          1987</t>
        </is>
      </c>
      <c r="D797" t="inlineStr">
        <is>
          <t>Gathering the fragments : a gospel mosaic / Edward J. Farrell.</t>
        </is>
      </c>
      <c r="F797" t="inlineStr">
        <is>
          <t>No</t>
        </is>
      </c>
      <c r="G797" t="inlineStr">
        <is>
          <t>1</t>
        </is>
      </c>
      <c r="H797" t="inlineStr">
        <is>
          <t>No</t>
        </is>
      </c>
      <c r="I797" t="inlineStr">
        <is>
          <t>No</t>
        </is>
      </c>
      <c r="J797" t="inlineStr">
        <is>
          <t>0</t>
        </is>
      </c>
      <c r="K797" t="inlineStr">
        <is>
          <t>Farrell, Edward J.</t>
        </is>
      </c>
      <c r="L797" t="inlineStr">
        <is>
          <t>Notre Dame, Ind. : Ave Maria Press, c1987.</t>
        </is>
      </c>
      <c r="M797" t="inlineStr">
        <is>
          <t>1987</t>
        </is>
      </c>
      <c r="O797" t="inlineStr">
        <is>
          <t>eng</t>
        </is>
      </c>
      <c r="P797" t="inlineStr">
        <is>
          <t>inu</t>
        </is>
      </c>
      <c r="R797" t="inlineStr">
        <is>
          <t xml:space="preserve">BV </t>
        </is>
      </c>
      <c r="S797" t="n">
        <v>1</v>
      </c>
      <c r="T797" t="n">
        <v>1</v>
      </c>
      <c r="U797" t="inlineStr">
        <is>
          <t>1993-03-16</t>
        </is>
      </c>
      <c r="V797" t="inlineStr">
        <is>
          <t>1993-03-16</t>
        </is>
      </c>
      <c r="W797" t="inlineStr">
        <is>
          <t>1992-01-07</t>
        </is>
      </c>
      <c r="X797" t="inlineStr">
        <is>
          <t>1992-01-07</t>
        </is>
      </c>
      <c r="Y797" t="n">
        <v>115</v>
      </c>
      <c r="Z797" t="n">
        <v>102</v>
      </c>
      <c r="AA797" t="n">
        <v>108</v>
      </c>
      <c r="AB797" t="n">
        <v>2</v>
      </c>
      <c r="AC797" t="n">
        <v>2</v>
      </c>
      <c r="AD797" t="n">
        <v>8</v>
      </c>
      <c r="AE797" t="n">
        <v>8</v>
      </c>
      <c r="AF797" t="n">
        <v>1</v>
      </c>
      <c r="AG797" t="n">
        <v>1</v>
      </c>
      <c r="AH797" t="n">
        <v>1</v>
      </c>
      <c r="AI797" t="n">
        <v>1</v>
      </c>
      <c r="AJ797" t="n">
        <v>7</v>
      </c>
      <c r="AK797" t="n">
        <v>7</v>
      </c>
      <c r="AL797" t="n">
        <v>0</v>
      </c>
      <c r="AM797" t="n">
        <v>0</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HYPERLINK("https://creighton-primo.hosted.exlibrisgroup.com/primo-explore/search?tab=default_tab&amp;search_scope=EVERYTHING&amp;vid=01CRU&amp;lang=en_US&amp;offset=0&amp;query=any,contains,991001156419702656","Catalog Record")</f>
        <v/>
      </c>
      <c r="AT797">
        <f>HYPERLINK("http://www.worldcat.org/oclc/18073293","WorldCat Record")</f>
        <v/>
      </c>
      <c r="AU797" t="inlineStr">
        <is>
          <t>16699192:eng</t>
        </is>
      </c>
      <c r="AV797" t="inlineStr">
        <is>
          <t>18073293</t>
        </is>
      </c>
      <c r="AW797" t="inlineStr">
        <is>
          <t>991001156419702656</t>
        </is>
      </c>
      <c r="AX797" t="inlineStr">
        <is>
          <t>991001156419702656</t>
        </is>
      </c>
      <c r="AY797" t="inlineStr">
        <is>
          <t>2270366040002656</t>
        </is>
      </c>
      <c r="AZ797" t="inlineStr">
        <is>
          <t>BOOK</t>
        </is>
      </c>
      <c r="BC797" t="inlineStr">
        <is>
          <t>32285000883651</t>
        </is>
      </c>
      <c r="BD797" t="inlineStr">
        <is>
          <t>893528704</t>
        </is>
      </c>
    </row>
    <row r="798">
      <c r="A798" t="inlineStr">
        <is>
          <t>No</t>
        </is>
      </c>
      <c r="B798" t="inlineStr">
        <is>
          <t>BV4832.2 .G66 1976</t>
        </is>
      </c>
      <c r="C798" t="inlineStr">
        <is>
          <t>0                      BV 4832200G  66          1976</t>
        </is>
      </c>
      <c r="D798" t="inlineStr">
        <is>
          <t>Return to the center / Bede Griffiths.</t>
        </is>
      </c>
      <c r="F798" t="inlineStr">
        <is>
          <t>No</t>
        </is>
      </c>
      <c r="G798" t="inlineStr">
        <is>
          <t>1</t>
        </is>
      </c>
      <c r="H798" t="inlineStr">
        <is>
          <t>No</t>
        </is>
      </c>
      <c r="I798" t="inlineStr">
        <is>
          <t>No</t>
        </is>
      </c>
      <c r="J798" t="inlineStr">
        <is>
          <t>0</t>
        </is>
      </c>
      <c r="K798" t="inlineStr">
        <is>
          <t>Griffiths, Bede, 1906-1993.</t>
        </is>
      </c>
      <c r="L798" t="inlineStr">
        <is>
          <t>Springfield, Ill. : Templegate ; London : Collins, 1976.</t>
        </is>
      </c>
      <c r="M798" t="inlineStr">
        <is>
          <t>1976</t>
        </is>
      </c>
      <c r="O798" t="inlineStr">
        <is>
          <t>eng</t>
        </is>
      </c>
      <c r="P798" t="inlineStr">
        <is>
          <t>enk</t>
        </is>
      </c>
      <c r="R798" t="inlineStr">
        <is>
          <t xml:space="preserve">BV </t>
        </is>
      </c>
      <c r="S798" t="n">
        <v>7</v>
      </c>
      <c r="T798" t="n">
        <v>7</v>
      </c>
      <c r="U798" t="inlineStr">
        <is>
          <t>2002-01-15</t>
        </is>
      </c>
      <c r="V798" t="inlineStr">
        <is>
          <t>2002-01-15</t>
        </is>
      </c>
      <c r="W798" t="inlineStr">
        <is>
          <t>1992-03-11</t>
        </is>
      </c>
      <c r="X798" t="inlineStr">
        <is>
          <t>1992-03-11</t>
        </is>
      </c>
      <c r="Y798" t="n">
        <v>146</v>
      </c>
      <c r="Z798" t="n">
        <v>66</v>
      </c>
      <c r="AA798" t="n">
        <v>301</v>
      </c>
      <c r="AB798" t="n">
        <v>2</v>
      </c>
      <c r="AC798" t="n">
        <v>3</v>
      </c>
      <c r="AD798" t="n">
        <v>4</v>
      </c>
      <c r="AE798" t="n">
        <v>31</v>
      </c>
      <c r="AF798" t="n">
        <v>1</v>
      </c>
      <c r="AG798" t="n">
        <v>7</v>
      </c>
      <c r="AH798" t="n">
        <v>1</v>
      </c>
      <c r="AI798" t="n">
        <v>10</v>
      </c>
      <c r="AJ798" t="n">
        <v>2</v>
      </c>
      <c r="AK798" t="n">
        <v>21</v>
      </c>
      <c r="AL798" t="n">
        <v>1</v>
      </c>
      <c r="AM798" t="n">
        <v>2</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HYPERLINK("https://creighton-primo.hosted.exlibrisgroup.com/primo-explore/search?tab=default_tab&amp;search_scope=EVERYTHING&amp;vid=01CRU&amp;lang=en_US&amp;offset=0&amp;query=any,contains,991004151839702656","Catalog Record")</f>
        <v/>
      </c>
      <c r="AT798">
        <f>HYPERLINK("http://www.worldcat.org/oclc/2525684","WorldCat Record")</f>
        <v/>
      </c>
      <c r="AU798" t="inlineStr">
        <is>
          <t>63139735:eng</t>
        </is>
      </c>
      <c r="AV798" t="inlineStr">
        <is>
          <t>2525684</t>
        </is>
      </c>
      <c r="AW798" t="inlineStr">
        <is>
          <t>991004151839702656</t>
        </is>
      </c>
      <c r="AX798" t="inlineStr">
        <is>
          <t>991004151839702656</t>
        </is>
      </c>
      <c r="AY798" t="inlineStr">
        <is>
          <t>2272737730002656</t>
        </is>
      </c>
      <c r="AZ798" t="inlineStr">
        <is>
          <t>BOOK</t>
        </is>
      </c>
      <c r="BB798" t="inlineStr">
        <is>
          <t>9780002157131</t>
        </is>
      </c>
      <c r="BC798" t="inlineStr">
        <is>
          <t>32285000969443</t>
        </is>
      </c>
      <c r="BD798" t="inlineStr">
        <is>
          <t>893532048</t>
        </is>
      </c>
    </row>
    <row r="799">
      <c r="A799" t="inlineStr">
        <is>
          <t>No</t>
        </is>
      </c>
      <c r="B799" t="inlineStr">
        <is>
          <t>BV4832.2 .J586 1997</t>
        </is>
      </c>
      <c r="C799" t="inlineStr">
        <is>
          <t>0                      BV 4832200J  586         1997</t>
        </is>
      </c>
      <c r="D799" t="inlineStr">
        <is>
          <t>Listening for God : spiritual directives for searching Christians / Ben Campbell Johnson.</t>
        </is>
      </c>
      <c r="F799" t="inlineStr">
        <is>
          <t>No</t>
        </is>
      </c>
      <c r="G799" t="inlineStr">
        <is>
          <t>1</t>
        </is>
      </c>
      <c r="H799" t="inlineStr">
        <is>
          <t>No</t>
        </is>
      </c>
      <c r="I799" t="inlineStr">
        <is>
          <t>No</t>
        </is>
      </c>
      <c r="J799" t="inlineStr">
        <is>
          <t>0</t>
        </is>
      </c>
      <c r="K799" t="inlineStr">
        <is>
          <t>Johnson, Ben Campbell.</t>
        </is>
      </c>
      <c r="L799" t="inlineStr">
        <is>
          <t>New York : Paulist Press, c1997.</t>
        </is>
      </c>
      <c r="M799" t="inlineStr">
        <is>
          <t>1997</t>
        </is>
      </c>
      <c r="O799" t="inlineStr">
        <is>
          <t>eng</t>
        </is>
      </c>
      <c r="P799" t="inlineStr">
        <is>
          <t>nyu</t>
        </is>
      </c>
      <c r="R799" t="inlineStr">
        <is>
          <t xml:space="preserve">BV </t>
        </is>
      </c>
      <c r="S799" t="n">
        <v>6</v>
      </c>
      <c r="T799" t="n">
        <v>6</v>
      </c>
      <c r="U799" t="inlineStr">
        <is>
          <t>2007-05-29</t>
        </is>
      </c>
      <c r="V799" t="inlineStr">
        <is>
          <t>2007-05-29</t>
        </is>
      </c>
      <c r="W799" t="inlineStr">
        <is>
          <t>1998-01-12</t>
        </is>
      </c>
      <c r="X799" t="inlineStr">
        <is>
          <t>1998-01-12</t>
        </is>
      </c>
      <c r="Y799" t="n">
        <v>81</v>
      </c>
      <c r="Z799" t="n">
        <v>70</v>
      </c>
      <c r="AA799" t="n">
        <v>70</v>
      </c>
      <c r="AB799" t="n">
        <v>1</v>
      </c>
      <c r="AC799" t="n">
        <v>1</v>
      </c>
      <c r="AD799" t="n">
        <v>8</v>
      </c>
      <c r="AE799" t="n">
        <v>8</v>
      </c>
      <c r="AF799" t="n">
        <v>3</v>
      </c>
      <c r="AG799" t="n">
        <v>3</v>
      </c>
      <c r="AH799" t="n">
        <v>2</v>
      </c>
      <c r="AI799" t="n">
        <v>2</v>
      </c>
      <c r="AJ799" t="n">
        <v>5</v>
      </c>
      <c r="AK799" t="n">
        <v>5</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HYPERLINK("https://creighton-primo.hosted.exlibrisgroup.com/primo-explore/search?tab=default_tab&amp;search_scope=EVERYTHING&amp;vid=01CRU&amp;lang=en_US&amp;offset=0&amp;query=any,contains,991002829079702656","Catalog Record")</f>
        <v/>
      </c>
      <c r="AT799">
        <f>HYPERLINK("http://www.worldcat.org/oclc/37246671","WorldCat Record")</f>
        <v/>
      </c>
      <c r="AU799" t="inlineStr">
        <is>
          <t>616877:eng</t>
        </is>
      </c>
      <c r="AV799" t="inlineStr">
        <is>
          <t>37246671</t>
        </is>
      </c>
      <c r="AW799" t="inlineStr">
        <is>
          <t>991002829079702656</t>
        </is>
      </c>
      <c r="AX799" t="inlineStr">
        <is>
          <t>991002829079702656</t>
        </is>
      </c>
      <c r="AY799" t="inlineStr">
        <is>
          <t>2267800230002656</t>
        </is>
      </c>
      <c r="AZ799" t="inlineStr">
        <is>
          <t>BOOK</t>
        </is>
      </c>
      <c r="BB799" t="inlineStr">
        <is>
          <t>9780809137183</t>
        </is>
      </c>
      <c r="BC799" t="inlineStr">
        <is>
          <t>32285003302964</t>
        </is>
      </c>
      <c r="BD799" t="inlineStr">
        <is>
          <t>893504869</t>
        </is>
      </c>
    </row>
    <row r="800">
      <c r="A800" t="inlineStr">
        <is>
          <t>No</t>
        </is>
      </c>
      <c r="B800" t="inlineStr">
        <is>
          <t>BV4832.2 .M233</t>
        </is>
      </c>
      <c r="C800" t="inlineStr">
        <is>
          <t>0                      BV 4832200M  233</t>
        </is>
      </c>
      <c r="D800" t="inlineStr">
        <is>
          <t>The humility of God / by John Macquarrie.</t>
        </is>
      </c>
      <c r="F800" t="inlineStr">
        <is>
          <t>No</t>
        </is>
      </c>
      <c r="G800" t="inlineStr">
        <is>
          <t>1</t>
        </is>
      </c>
      <c r="H800" t="inlineStr">
        <is>
          <t>No</t>
        </is>
      </c>
      <c r="I800" t="inlineStr">
        <is>
          <t>No</t>
        </is>
      </c>
      <c r="J800" t="inlineStr">
        <is>
          <t>0</t>
        </is>
      </c>
      <c r="K800" t="inlineStr">
        <is>
          <t>Macquarrie, John.</t>
        </is>
      </c>
      <c r="L800" t="inlineStr">
        <is>
          <t>Philadelphia : Westminster Press, c1978.</t>
        </is>
      </c>
      <c r="M800" t="inlineStr">
        <is>
          <t>1978</t>
        </is>
      </c>
      <c r="N800" t="inlineStr">
        <is>
          <t>1st ed.</t>
        </is>
      </c>
      <c r="O800" t="inlineStr">
        <is>
          <t>eng</t>
        </is>
      </c>
      <c r="P800" t="inlineStr">
        <is>
          <t>pau</t>
        </is>
      </c>
      <c r="R800" t="inlineStr">
        <is>
          <t xml:space="preserve">BV </t>
        </is>
      </c>
      <c r="S800" t="n">
        <v>4</v>
      </c>
      <c r="T800" t="n">
        <v>4</v>
      </c>
      <c r="U800" t="inlineStr">
        <is>
          <t>2001-06-17</t>
        </is>
      </c>
      <c r="V800" t="inlineStr">
        <is>
          <t>2001-06-17</t>
        </is>
      </c>
      <c r="W800" t="inlineStr">
        <is>
          <t>1992-03-11</t>
        </is>
      </c>
      <c r="X800" t="inlineStr">
        <is>
          <t>1992-03-11</t>
        </is>
      </c>
      <c r="Y800" t="n">
        <v>297</v>
      </c>
      <c r="Z800" t="n">
        <v>269</v>
      </c>
      <c r="AA800" t="n">
        <v>303</v>
      </c>
      <c r="AB800" t="n">
        <v>2</v>
      </c>
      <c r="AC800" t="n">
        <v>3</v>
      </c>
      <c r="AD800" t="n">
        <v>25</v>
      </c>
      <c r="AE800" t="n">
        <v>26</v>
      </c>
      <c r="AF800" t="n">
        <v>8</v>
      </c>
      <c r="AG800" t="n">
        <v>8</v>
      </c>
      <c r="AH800" t="n">
        <v>5</v>
      </c>
      <c r="AI800" t="n">
        <v>5</v>
      </c>
      <c r="AJ800" t="n">
        <v>18</v>
      </c>
      <c r="AK800" t="n">
        <v>18</v>
      </c>
      <c r="AL800" t="n">
        <v>1</v>
      </c>
      <c r="AM800" t="n">
        <v>2</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HYPERLINK("https://creighton-primo.hosted.exlibrisgroup.com/primo-explore/search?tab=default_tab&amp;search_scope=EVERYTHING&amp;vid=01CRU&amp;lang=en_US&amp;offset=0&amp;query=any,contains,991004461339702656","Catalog Record")</f>
        <v/>
      </c>
      <c r="AT800">
        <f>HYPERLINK("http://www.worldcat.org/oclc/3543531","WorldCat Record")</f>
        <v/>
      </c>
      <c r="AU800" t="inlineStr">
        <is>
          <t>10580534:eng</t>
        </is>
      </c>
      <c r="AV800" t="inlineStr">
        <is>
          <t>3543531</t>
        </is>
      </c>
      <c r="AW800" t="inlineStr">
        <is>
          <t>991004461339702656</t>
        </is>
      </c>
      <c r="AX800" t="inlineStr">
        <is>
          <t>991004461339702656</t>
        </is>
      </c>
      <c r="AY800" t="inlineStr">
        <is>
          <t>2264876340002656</t>
        </is>
      </c>
      <c r="AZ800" t="inlineStr">
        <is>
          <t>BOOK</t>
        </is>
      </c>
      <c r="BB800" t="inlineStr">
        <is>
          <t>9780664242008</t>
        </is>
      </c>
      <c r="BC800" t="inlineStr">
        <is>
          <t>32285000969450</t>
        </is>
      </c>
      <c r="BD800" t="inlineStr">
        <is>
          <t>893350018</t>
        </is>
      </c>
    </row>
    <row r="801">
      <c r="A801" t="inlineStr">
        <is>
          <t>No</t>
        </is>
      </c>
      <c r="B801" t="inlineStr">
        <is>
          <t>BV4832.2 .P75 1977</t>
        </is>
      </c>
      <c r="C801" t="inlineStr">
        <is>
          <t>0                      BV 4832200P  75          1977</t>
        </is>
      </c>
      <c r="D801" t="inlineStr">
        <is>
          <t>The well and the cathedral : with an introduction on its use in the practice of meditation / Ira Progoff.</t>
        </is>
      </c>
      <c r="F801" t="inlineStr">
        <is>
          <t>No</t>
        </is>
      </c>
      <c r="G801" t="inlineStr">
        <is>
          <t>1</t>
        </is>
      </c>
      <c r="H801" t="inlineStr">
        <is>
          <t>No</t>
        </is>
      </c>
      <c r="I801" t="inlineStr">
        <is>
          <t>No</t>
        </is>
      </c>
      <c r="J801" t="inlineStr">
        <is>
          <t>0</t>
        </is>
      </c>
      <c r="K801" t="inlineStr">
        <is>
          <t>Progoff, Ira.</t>
        </is>
      </c>
      <c r="L801" t="inlineStr">
        <is>
          <t>New York : Dialogue House Library, 1977.</t>
        </is>
      </c>
      <c r="M801" t="inlineStr">
        <is>
          <t>1977</t>
        </is>
      </c>
      <c r="N801" t="inlineStr">
        <is>
          <t>2d ed. enl.</t>
        </is>
      </c>
      <c r="O801" t="inlineStr">
        <is>
          <t>eng</t>
        </is>
      </c>
      <c r="P801" t="inlineStr">
        <is>
          <t>nyu</t>
        </is>
      </c>
      <c r="R801" t="inlineStr">
        <is>
          <t xml:space="preserve">BV </t>
        </is>
      </c>
      <c r="S801" t="n">
        <v>2</v>
      </c>
      <c r="T801" t="n">
        <v>2</v>
      </c>
      <c r="U801" t="inlineStr">
        <is>
          <t>1998-07-14</t>
        </is>
      </c>
      <c r="V801" t="inlineStr">
        <is>
          <t>1998-07-14</t>
        </is>
      </c>
      <c r="W801" t="inlineStr">
        <is>
          <t>1992-03-11</t>
        </is>
      </c>
      <c r="X801" t="inlineStr">
        <is>
          <t>1992-03-11</t>
        </is>
      </c>
      <c r="Y801" t="n">
        <v>195</v>
      </c>
      <c r="Z801" t="n">
        <v>175</v>
      </c>
      <c r="AA801" t="n">
        <v>184</v>
      </c>
      <c r="AB801" t="n">
        <v>3</v>
      </c>
      <c r="AC801" t="n">
        <v>3</v>
      </c>
      <c r="AD801" t="n">
        <v>10</v>
      </c>
      <c r="AE801" t="n">
        <v>10</v>
      </c>
      <c r="AF801" t="n">
        <v>2</v>
      </c>
      <c r="AG801" t="n">
        <v>2</v>
      </c>
      <c r="AH801" t="n">
        <v>1</v>
      </c>
      <c r="AI801" t="n">
        <v>1</v>
      </c>
      <c r="AJ801" t="n">
        <v>7</v>
      </c>
      <c r="AK801" t="n">
        <v>7</v>
      </c>
      <c r="AL801" t="n">
        <v>1</v>
      </c>
      <c r="AM801" t="n">
        <v>1</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HYPERLINK("https://creighton-primo.hosted.exlibrisgroup.com/primo-explore/search?tab=default_tab&amp;search_scope=EVERYTHING&amp;vid=01CRU&amp;lang=en_US&amp;offset=0&amp;query=any,contains,991004077379702656","Catalog Record")</f>
        <v/>
      </c>
      <c r="AT801">
        <f>HYPERLINK("http://www.worldcat.org/oclc/2318423","WorldCat Record")</f>
        <v/>
      </c>
      <c r="AU801" t="inlineStr">
        <is>
          <t>3855296604:eng</t>
        </is>
      </c>
      <c r="AV801" t="inlineStr">
        <is>
          <t>2318423</t>
        </is>
      </c>
      <c r="AW801" t="inlineStr">
        <is>
          <t>991004077379702656</t>
        </is>
      </c>
      <c r="AX801" t="inlineStr">
        <is>
          <t>991004077379702656</t>
        </is>
      </c>
      <c r="AY801" t="inlineStr">
        <is>
          <t>2266390500002656</t>
        </is>
      </c>
      <c r="AZ801" t="inlineStr">
        <is>
          <t>BOOK</t>
        </is>
      </c>
      <c r="BC801" t="inlineStr">
        <is>
          <t>32285000969476</t>
        </is>
      </c>
      <c r="BD801" t="inlineStr">
        <is>
          <t>893775582</t>
        </is>
      </c>
    </row>
    <row r="802">
      <c r="A802" t="inlineStr">
        <is>
          <t>No</t>
        </is>
      </c>
      <c r="B802" t="inlineStr">
        <is>
          <t>BV4832.2 .S5226 1990</t>
        </is>
      </c>
      <c r="C802" t="inlineStr">
        <is>
          <t>0                      BV 4832200S  5226        1990</t>
        </is>
      </c>
      <c r="D802" t="inlineStr">
        <is>
          <t>Short meditations on the Bible and Peanuts / Robert L. Short.</t>
        </is>
      </c>
      <c r="F802" t="inlineStr">
        <is>
          <t>No</t>
        </is>
      </c>
      <c r="G802" t="inlineStr">
        <is>
          <t>1</t>
        </is>
      </c>
      <c r="H802" t="inlineStr">
        <is>
          <t>No</t>
        </is>
      </c>
      <c r="I802" t="inlineStr">
        <is>
          <t>No</t>
        </is>
      </c>
      <c r="J802" t="inlineStr">
        <is>
          <t>0</t>
        </is>
      </c>
      <c r="K802" t="inlineStr">
        <is>
          <t>Short, Robert L.</t>
        </is>
      </c>
      <c r="L802" t="inlineStr">
        <is>
          <t>Louisville, Ky. : Westminster/John Knox Press, c1990.</t>
        </is>
      </c>
      <c r="M802" t="inlineStr">
        <is>
          <t>1990</t>
        </is>
      </c>
      <c r="N802" t="inlineStr">
        <is>
          <t>1st ed.</t>
        </is>
      </c>
      <c r="O802" t="inlineStr">
        <is>
          <t>eng</t>
        </is>
      </c>
      <c r="P802" t="inlineStr">
        <is>
          <t>kyu</t>
        </is>
      </c>
      <c r="R802" t="inlineStr">
        <is>
          <t xml:space="preserve">BV </t>
        </is>
      </c>
      <c r="S802" t="n">
        <v>3</v>
      </c>
      <c r="T802" t="n">
        <v>3</v>
      </c>
      <c r="U802" t="inlineStr">
        <is>
          <t>2002-06-24</t>
        </is>
      </c>
      <c r="V802" t="inlineStr">
        <is>
          <t>2002-06-24</t>
        </is>
      </c>
      <c r="W802" t="inlineStr">
        <is>
          <t>1991-02-28</t>
        </is>
      </c>
      <c r="X802" t="inlineStr">
        <is>
          <t>1991-02-28</t>
        </is>
      </c>
      <c r="Y802" t="n">
        <v>206</v>
      </c>
      <c r="Z802" t="n">
        <v>194</v>
      </c>
      <c r="AA802" t="n">
        <v>199</v>
      </c>
      <c r="AB802" t="n">
        <v>2</v>
      </c>
      <c r="AC802" t="n">
        <v>2</v>
      </c>
      <c r="AD802" t="n">
        <v>5</v>
      </c>
      <c r="AE802" t="n">
        <v>5</v>
      </c>
      <c r="AF802" t="n">
        <v>1</v>
      </c>
      <c r="AG802" t="n">
        <v>1</v>
      </c>
      <c r="AH802" t="n">
        <v>1</v>
      </c>
      <c r="AI802" t="n">
        <v>1</v>
      </c>
      <c r="AJ802" t="n">
        <v>2</v>
      </c>
      <c r="AK802" t="n">
        <v>2</v>
      </c>
      <c r="AL802" t="n">
        <v>1</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HYPERLINK("https://creighton-primo.hosted.exlibrisgroup.com/primo-explore/search?tab=default_tab&amp;search_scope=EVERYTHING&amp;vid=01CRU&amp;lang=en_US&amp;offset=0&amp;query=any,contains,991001729749702656","Catalog Record")</f>
        <v/>
      </c>
      <c r="AT802">
        <f>HYPERLINK("http://www.worldcat.org/oclc/21909896","WorldCat Record")</f>
        <v/>
      </c>
      <c r="AU802" t="inlineStr">
        <is>
          <t>158825961:eng</t>
        </is>
      </c>
      <c r="AV802" t="inlineStr">
        <is>
          <t>21909896</t>
        </is>
      </c>
      <c r="AW802" t="inlineStr">
        <is>
          <t>991001729749702656</t>
        </is>
      </c>
      <c r="AX802" t="inlineStr">
        <is>
          <t>991001729749702656</t>
        </is>
      </c>
      <c r="AY802" t="inlineStr">
        <is>
          <t>2269592600002656</t>
        </is>
      </c>
      <c r="AZ802" t="inlineStr">
        <is>
          <t>BOOK</t>
        </is>
      </c>
      <c r="BB802" t="inlineStr">
        <is>
          <t>9780664251529</t>
        </is>
      </c>
      <c r="BC802" t="inlineStr">
        <is>
          <t>32285000492289</t>
        </is>
      </c>
      <c r="BD802" t="inlineStr">
        <is>
          <t>893315993</t>
        </is>
      </c>
    </row>
    <row r="803">
      <c r="A803" t="inlineStr">
        <is>
          <t>No</t>
        </is>
      </c>
      <c r="B803" t="inlineStr">
        <is>
          <t>BV4832.2 .S529 2000</t>
        </is>
      </c>
      <c r="C803" t="inlineStr">
        <is>
          <t>0                      BV 4832200S  529         2000</t>
        </is>
      </c>
      <c r="D803" t="inlineStr">
        <is>
          <t>Wisdom of the sadhu : teachings of Sundar Singh / compiled and edited by Kim Comer.</t>
        </is>
      </c>
      <c r="F803" t="inlineStr">
        <is>
          <t>No</t>
        </is>
      </c>
      <c r="G803" t="inlineStr">
        <is>
          <t>1</t>
        </is>
      </c>
      <c r="H803" t="inlineStr">
        <is>
          <t>No</t>
        </is>
      </c>
      <c r="I803" t="inlineStr">
        <is>
          <t>No</t>
        </is>
      </c>
      <c r="J803" t="inlineStr">
        <is>
          <t>0</t>
        </is>
      </c>
      <c r="K803" t="inlineStr">
        <is>
          <t>Singh, Sundar, 1889-1929.</t>
        </is>
      </c>
      <c r="L803" t="inlineStr">
        <is>
          <t>Farmington, PA : Plough, 2000.</t>
        </is>
      </c>
      <c r="M803" t="inlineStr">
        <is>
          <t>2000</t>
        </is>
      </c>
      <c r="O803" t="inlineStr">
        <is>
          <t>eng</t>
        </is>
      </c>
      <c r="P803" t="inlineStr">
        <is>
          <t>pau</t>
        </is>
      </c>
      <c r="R803" t="inlineStr">
        <is>
          <t xml:space="preserve">BV </t>
        </is>
      </c>
      <c r="S803" t="n">
        <v>1</v>
      </c>
      <c r="T803" t="n">
        <v>1</v>
      </c>
      <c r="U803" t="inlineStr">
        <is>
          <t>2003-10-01</t>
        </is>
      </c>
      <c r="V803" t="inlineStr">
        <is>
          <t>2003-10-01</t>
        </is>
      </c>
      <c r="W803" t="inlineStr">
        <is>
          <t>2001-02-26</t>
        </is>
      </c>
      <c r="X803" t="inlineStr">
        <is>
          <t>2001-02-26</t>
        </is>
      </c>
      <c r="Y803" t="n">
        <v>205</v>
      </c>
      <c r="Z803" t="n">
        <v>180</v>
      </c>
      <c r="AA803" t="n">
        <v>187</v>
      </c>
      <c r="AB803" t="n">
        <v>1</v>
      </c>
      <c r="AC803" t="n">
        <v>1</v>
      </c>
      <c r="AD803" t="n">
        <v>9</v>
      </c>
      <c r="AE803" t="n">
        <v>9</v>
      </c>
      <c r="AF803" t="n">
        <v>5</v>
      </c>
      <c r="AG803" t="n">
        <v>5</v>
      </c>
      <c r="AH803" t="n">
        <v>2</v>
      </c>
      <c r="AI803" t="n">
        <v>2</v>
      </c>
      <c r="AJ803" t="n">
        <v>6</v>
      </c>
      <c r="AK803" t="n">
        <v>6</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HYPERLINK("https://creighton-primo.hosted.exlibrisgroup.com/primo-explore/search?tab=default_tab&amp;search_scope=EVERYTHING&amp;vid=01CRU&amp;lang=en_US&amp;offset=0&amp;query=any,contains,991003486789702656","Catalog Record")</f>
        <v/>
      </c>
      <c r="AT803">
        <f>HYPERLINK("http://www.worldcat.org/oclc/44681689","WorldCat Record")</f>
        <v/>
      </c>
      <c r="AU803" t="inlineStr">
        <is>
          <t>290866927:eng</t>
        </is>
      </c>
      <c r="AV803" t="inlineStr">
        <is>
          <t>44681689</t>
        </is>
      </c>
      <c r="AW803" t="inlineStr">
        <is>
          <t>991003486789702656</t>
        </is>
      </c>
      <c r="AX803" t="inlineStr">
        <is>
          <t>991003486789702656</t>
        </is>
      </c>
      <c r="AY803" t="inlineStr">
        <is>
          <t>2259113140002656</t>
        </is>
      </c>
      <c r="AZ803" t="inlineStr">
        <is>
          <t>BOOK</t>
        </is>
      </c>
      <c r="BB803" t="inlineStr">
        <is>
          <t>9780874869989</t>
        </is>
      </c>
      <c r="BC803" t="inlineStr">
        <is>
          <t>32285004297601</t>
        </is>
      </c>
      <c r="BD803" t="inlineStr">
        <is>
          <t>893416432</t>
        </is>
      </c>
    </row>
    <row r="804">
      <c r="A804" t="inlineStr">
        <is>
          <t>No</t>
        </is>
      </c>
      <c r="B804" t="inlineStr">
        <is>
          <t>BV4832.2 .T527 1963</t>
        </is>
      </c>
      <c r="C804" t="inlineStr">
        <is>
          <t>0                      BV 4832200T  527         1963</t>
        </is>
      </c>
      <c r="D804" t="inlineStr">
        <is>
          <t>Disciplines of the spirit / Howard Thurman.</t>
        </is>
      </c>
      <c r="F804" t="inlineStr">
        <is>
          <t>No</t>
        </is>
      </c>
      <c r="G804" t="inlineStr">
        <is>
          <t>1</t>
        </is>
      </c>
      <c r="H804" t="inlineStr">
        <is>
          <t>No</t>
        </is>
      </c>
      <c r="I804" t="inlineStr">
        <is>
          <t>No</t>
        </is>
      </c>
      <c r="J804" t="inlineStr">
        <is>
          <t>0</t>
        </is>
      </c>
      <c r="K804" t="inlineStr">
        <is>
          <t>Thurman, Howard, 1900-1981.</t>
        </is>
      </c>
      <c r="L804" t="inlineStr">
        <is>
          <t>New York : Harper &amp; Row, c1963.</t>
        </is>
      </c>
      <c r="M804" t="inlineStr">
        <is>
          <t>1963</t>
        </is>
      </c>
      <c r="O804" t="inlineStr">
        <is>
          <t>eng</t>
        </is>
      </c>
      <c r="P804" t="inlineStr">
        <is>
          <t>nyu</t>
        </is>
      </c>
      <c r="R804" t="inlineStr">
        <is>
          <t xml:space="preserve">BV </t>
        </is>
      </c>
      <c r="S804" t="n">
        <v>1</v>
      </c>
      <c r="T804" t="n">
        <v>1</v>
      </c>
      <c r="U804" t="inlineStr">
        <is>
          <t>2008-08-28</t>
        </is>
      </c>
      <c r="V804" t="inlineStr">
        <is>
          <t>2008-08-28</t>
        </is>
      </c>
      <c r="W804" t="inlineStr">
        <is>
          <t>2008-08-28</t>
        </is>
      </c>
      <c r="X804" t="inlineStr">
        <is>
          <t>2008-08-28</t>
        </is>
      </c>
      <c r="Y804" t="n">
        <v>237</v>
      </c>
      <c r="Z804" t="n">
        <v>225</v>
      </c>
      <c r="AA804" t="n">
        <v>343</v>
      </c>
      <c r="AB804" t="n">
        <v>1</v>
      </c>
      <c r="AC804" t="n">
        <v>1</v>
      </c>
      <c r="AD804" t="n">
        <v>7</v>
      </c>
      <c r="AE804" t="n">
        <v>12</v>
      </c>
      <c r="AF804" t="n">
        <v>4</v>
      </c>
      <c r="AG804" t="n">
        <v>6</v>
      </c>
      <c r="AH804" t="n">
        <v>0</v>
      </c>
      <c r="AI804" t="n">
        <v>3</v>
      </c>
      <c r="AJ804" t="n">
        <v>3</v>
      </c>
      <c r="AK804" t="n">
        <v>5</v>
      </c>
      <c r="AL804" t="n">
        <v>0</v>
      </c>
      <c r="AM804" t="n">
        <v>0</v>
      </c>
      <c r="AN804" t="n">
        <v>0</v>
      </c>
      <c r="AO804" t="n">
        <v>0</v>
      </c>
      <c r="AP804" t="inlineStr">
        <is>
          <t>No</t>
        </is>
      </c>
      <c r="AQ804" t="inlineStr">
        <is>
          <t>Yes</t>
        </is>
      </c>
      <c r="AR804">
        <f>HYPERLINK("http://catalog.hathitrust.org/Record/102330353","HathiTrust Record")</f>
        <v/>
      </c>
      <c r="AS804">
        <f>HYPERLINK("https://creighton-primo.hosted.exlibrisgroup.com/primo-explore/search?tab=default_tab&amp;search_scope=EVERYTHING&amp;vid=01CRU&amp;lang=en_US&amp;offset=0&amp;query=any,contains,991005261239702656","Catalog Record")</f>
        <v/>
      </c>
      <c r="AT804">
        <f>HYPERLINK("http://www.worldcat.org/oclc/1250070","WorldCat Record")</f>
        <v/>
      </c>
      <c r="AU804" t="inlineStr">
        <is>
          <t>2161112:eng</t>
        </is>
      </c>
      <c r="AV804" t="inlineStr">
        <is>
          <t>1250070</t>
        </is>
      </c>
      <c r="AW804" t="inlineStr">
        <is>
          <t>991005261239702656</t>
        </is>
      </c>
      <c r="AX804" t="inlineStr">
        <is>
          <t>991005261239702656</t>
        </is>
      </c>
      <c r="AY804" t="inlineStr">
        <is>
          <t>2263157330002656</t>
        </is>
      </c>
      <c r="AZ804" t="inlineStr">
        <is>
          <t>BOOK</t>
        </is>
      </c>
      <c r="BC804" t="inlineStr">
        <is>
          <t>32285005456560</t>
        </is>
      </c>
      <c r="BD804" t="inlineStr">
        <is>
          <t>893326484</t>
        </is>
      </c>
    </row>
    <row r="805">
      <c r="A805" t="inlineStr">
        <is>
          <t>No</t>
        </is>
      </c>
      <c r="B805" t="inlineStr">
        <is>
          <t>BV4832.2 .W34</t>
        </is>
      </c>
      <c r="C805" t="inlineStr">
        <is>
          <t>0                      BV 4832200W  34</t>
        </is>
      </c>
      <c r="D805" t="inlineStr">
        <is>
          <t>All men seek God : the quest for faith in the words of great leaders and thinkers / selected by Dean Walley. With illus. by Ronald M. LeHew.</t>
        </is>
      </c>
      <c r="F805" t="inlineStr">
        <is>
          <t>No</t>
        </is>
      </c>
      <c r="G805" t="inlineStr">
        <is>
          <t>1</t>
        </is>
      </c>
      <c r="H805" t="inlineStr">
        <is>
          <t>No</t>
        </is>
      </c>
      <c r="I805" t="inlineStr">
        <is>
          <t>No</t>
        </is>
      </c>
      <c r="J805" t="inlineStr">
        <is>
          <t>0</t>
        </is>
      </c>
      <c r="K805" t="inlineStr">
        <is>
          <t>Walley, Dean, compiler.</t>
        </is>
      </c>
      <c r="L805" t="inlineStr">
        <is>
          <t>[Kansas City, Mo.] Hallmark Editions [c1968]</t>
        </is>
      </c>
      <c r="M805" t="inlineStr">
        <is>
          <t>1968</t>
        </is>
      </c>
      <c r="O805" t="inlineStr">
        <is>
          <t>eng</t>
        </is>
      </c>
      <c r="P805" t="inlineStr">
        <is>
          <t>mou</t>
        </is>
      </c>
      <c r="R805" t="inlineStr">
        <is>
          <t xml:space="preserve">BV </t>
        </is>
      </c>
      <c r="S805" t="n">
        <v>6</v>
      </c>
      <c r="T805" t="n">
        <v>6</v>
      </c>
      <c r="U805" t="inlineStr">
        <is>
          <t>2007-10-08</t>
        </is>
      </c>
      <c r="V805" t="inlineStr">
        <is>
          <t>2007-10-08</t>
        </is>
      </c>
      <c r="W805" t="inlineStr">
        <is>
          <t>1992-03-11</t>
        </is>
      </c>
      <c r="X805" t="inlineStr">
        <is>
          <t>1992-03-11</t>
        </is>
      </c>
      <c r="Y805" t="n">
        <v>106</v>
      </c>
      <c r="Z805" t="n">
        <v>103</v>
      </c>
      <c r="AA805" t="n">
        <v>108</v>
      </c>
      <c r="AB805" t="n">
        <v>2</v>
      </c>
      <c r="AC805" t="n">
        <v>2</v>
      </c>
      <c r="AD805" t="n">
        <v>9</v>
      </c>
      <c r="AE805" t="n">
        <v>9</v>
      </c>
      <c r="AF805" t="n">
        <v>2</v>
      </c>
      <c r="AG805" t="n">
        <v>2</v>
      </c>
      <c r="AH805" t="n">
        <v>1</v>
      </c>
      <c r="AI805" t="n">
        <v>1</v>
      </c>
      <c r="AJ805" t="n">
        <v>5</v>
      </c>
      <c r="AK805" t="n">
        <v>5</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HYPERLINK("https://creighton-primo.hosted.exlibrisgroup.com/primo-explore/search?tab=default_tab&amp;search_scope=EVERYTHING&amp;vid=01CRU&amp;lang=en_US&amp;offset=0&amp;query=any,contains,991000633179702656","Catalog Record")</f>
        <v/>
      </c>
      <c r="AT805">
        <f>HYPERLINK("http://www.worldcat.org/oclc/106586","WorldCat Record")</f>
        <v/>
      </c>
      <c r="AU805" t="inlineStr">
        <is>
          <t>4780244217:eng</t>
        </is>
      </c>
      <c r="AV805" t="inlineStr">
        <is>
          <t>106586</t>
        </is>
      </c>
      <c r="AW805" t="inlineStr">
        <is>
          <t>991000633179702656</t>
        </is>
      </c>
      <c r="AX805" t="inlineStr">
        <is>
          <t>991000633179702656</t>
        </is>
      </c>
      <c r="AY805" t="inlineStr">
        <is>
          <t>2263718740002656</t>
        </is>
      </c>
      <c r="AZ805" t="inlineStr">
        <is>
          <t>BOOK</t>
        </is>
      </c>
      <c r="BB805" t="inlineStr">
        <is>
          <t>9780875290027</t>
        </is>
      </c>
      <c r="BC805" t="inlineStr">
        <is>
          <t>32285000969674</t>
        </is>
      </c>
      <c r="BD805" t="inlineStr">
        <is>
          <t>893432144</t>
        </is>
      </c>
    </row>
    <row r="806">
      <c r="A806" t="inlineStr">
        <is>
          <t>No</t>
        </is>
      </c>
      <c r="B806" t="inlineStr">
        <is>
          <t>BV4834 .S5413</t>
        </is>
      </c>
      <c r="C806" t="inlineStr">
        <is>
          <t>0                      BV 4834000S  5413</t>
        </is>
      </c>
      <c r="D806" t="inlineStr">
        <is>
          <t>Death by bread alone : texts and reflections on religious experience / Dorothee Soelle ; translated by David L. Scheidt.</t>
        </is>
      </c>
      <c r="F806" t="inlineStr">
        <is>
          <t>No</t>
        </is>
      </c>
      <c r="G806" t="inlineStr">
        <is>
          <t>1</t>
        </is>
      </c>
      <c r="H806" t="inlineStr">
        <is>
          <t>No</t>
        </is>
      </c>
      <c r="I806" t="inlineStr">
        <is>
          <t>No</t>
        </is>
      </c>
      <c r="J806" t="inlineStr">
        <is>
          <t>0</t>
        </is>
      </c>
      <c r="K806" t="inlineStr">
        <is>
          <t>Sölle, Dorothee.</t>
        </is>
      </c>
      <c r="L806" t="inlineStr">
        <is>
          <t>Philadelphia : Fortress Press, c1978.</t>
        </is>
      </c>
      <c r="M806" t="inlineStr">
        <is>
          <t>1978</t>
        </is>
      </c>
      <c r="O806" t="inlineStr">
        <is>
          <t>eng</t>
        </is>
      </c>
      <c r="P806" t="inlineStr">
        <is>
          <t>pau</t>
        </is>
      </c>
      <c r="R806" t="inlineStr">
        <is>
          <t xml:space="preserve">BV </t>
        </is>
      </c>
      <c r="S806" t="n">
        <v>5</v>
      </c>
      <c r="T806" t="n">
        <v>5</v>
      </c>
      <c r="U806" t="inlineStr">
        <is>
          <t>1999-11-03</t>
        </is>
      </c>
      <c r="V806" t="inlineStr">
        <is>
          <t>1999-11-03</t>
        </is>
      </c>
      <c r="W806" t="inlineStr">
        <is>
          <t>1992-03-11</t>
        </is>
      </c>
      <c r="X806" t="inlineStr">
        <is>
          <t>1992-03-11</t>
        </is>
      </c>
      <c r="Y806" t="n">
        <v>342</v>
      </c>
      <c r="Z806" t="n">
        <v>291</v>
      </c>
      <c r="AA806" t="n">
        <v>296</v>
      </c>
      <c r="AB806" t="n">
        <v>4</v>
      </c>
      <c r="AC806" t="n">
        <v>4</v>
      </c>
      <c r="AD806" t="n">
        <v>26</v>
      </c>
      <c r="AE806" t="n">
        <v>26</v>
      </c>
      <c r="AF806" t="n">
        <v>9</v>
      </c>
      <c r="AG806" t="n">
        <v>9</v>
      </c>
      <c r="AH806" t="n">
        <v>6</v>
      </c>
      <c r="AI806" t="n">
        <v>6</v>
      </c>
      <c r="AJ806" t="n">
        <v>15</v>
      </c>
      <c r="AK806" t="n">
        <v>15</v>
      </c>
      <c r="AL806" t="n">
        <v>3</v>
      </c>
      <c r="AM806" t="n">
        <v>3</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HYPERLINK("https://creighton-primo.hosted.exlibrisgroup.com/primo-explore/search?tab=default_tab&amp;search_scope=EVERYTHING&amp;vid=01CRU&amp;lang=en_US&amp;offset=0&amp;query=any,contains,991004536489702656","Catalog Record")</f>
        <v/>
      </c>
      <c r="AT806">
        <f>HYPERLINK("http://www.worldcat.org/oclc/3870110","WorldCat Record")</f>
        <v/>
      </c>
      <c r="AU806" t="inlineStr">
        <is>
          <t>1151105351:eng</t>
        </is>
      </c>
      <c r="AV806" t="inlineStr">
        <is>
          <t>3870110</t>
        </is>
      </c>
      <c r="AW806" t="inlineStr">
        <is>
          <t>991004536489702656</t>
        </is>
      </c>
      <c r="AX806" t="inlineStr">
        <is>
          <t>991004536489702656</t>
        </is>
      </c>
      <c r="AY806" t="inlineStr">
        <is>
          <t>2259202850002656</t>
        </is>
      </c>
      <c r="AZ806" t="inlineStr">
        <is>
          <t>BOOK</t>
        </is>
      </c>
      <c r="BB806" t="inlineStr">
        <is>
          <t>9780800605148</t>
        </is>
      </c>
      <c r="BC806" t="inlineStr">
        <is>
          <t>32285000969526</t>
        </is>
      </c>
      <c r="BD806" t="inlineStr">
        <is>
          <t>893700364</t>
        </is>
      </c>
    </row>
    <row r="807">
      <c r="A807" t="inlineStr">
        <is>
          <t>No</t>
        </is>
      </c>
      <c r="B807" t="inlineStr">
        <is>
          <t>BV4843 .C85 1992</t>
        </is>
      </c>
      <c r="C807" t="inlineStr">
        <is>
          <t>0                      BV 4843000C  85          1992</t>
        </is>
      </c>
      <c r="D807" t="inlineStr">
        <is>
          <t>New Adam : the future of male spirituality / Philip Culbertson.</t>
        </is>
      </c>
      <c r="F807" t="inlineStr">
        <is>
          <t>No</t>
        </is>
      </c>
      <c r="G807" t="inlineStr">
        <is>
          <t>1</t>
        </is>
      </c>
      <c r="H807" t="inlineStr">
        <is>
          <t>No</t>
        </is>
      </c>
      <c r="I807" t="inlineStr">
        <is>
          <t>No</t>
        </is>
      </c>
      <c r="J807" t="inlineStr">
        <is>
          <t>0</t>
        </is>
      </c>
      <c r="K807" t="inlineStr">
        <is>
          <t>Culbertson, Philip Leroy, 1944-</t>
        </is>
      </c>
      <c r="L807" t="inlineStr">
        <is>
          <t>Minneapolis : Fortress Press, c1992.</t>
        </is>
      </c>
      <c r="M807" t="inlineStr">
        <is>
          <t>1992</t>
        </is>
      </c>
      <c r="O807" t="inlineStr">
        <is>
          <t>eng</t>
        </is>
      </c>
      <c r="P807" t="inlineStr">
        <is>
          <t>mnu</t>
        </is>
      </c>
      <c r="R807" t="inlineStr">
        <is>
          <t xml:space="preserve">BV </t>
        </is>
      </c>
      <c r="S807" t="n">
        <v>2</v>
      </c>
      <c r="T807" t="n">
        <v>2</v>
      </c>
      <c r="U807" t="inlineStr">
        <is>
          <t>2003-06-11</t>
        </is>
      </c>
      <c r="V807" t="inlineStr">
        <is>
          <t>2003-06-11</t>
        </is>
      </c>
      <c r="W807" t="inlineStr">
        <is>
          <t>1994-01-26</t>
        </is>
      </c>
      <c r="X807" t="inlineStr">
        <is>
          <t>1994-01-26</t>
        </is>
      </c>
      <c r="Y807" t="n">
        <v>280</v>
      </c>
      <c r="Z807" t="n">
        <v>221</v>
      </c>
      <c r="AA807" t="n">
        <v>221</v>
      </c>
      <c r="AB807" t="n">
        <v>4</v>
      </c>
      <c r="AC807" t="n">
        <v>4</v>
      </c>
      <c r="AD807" t="n">
        <v>10</v>
      </c>
      <c r="AE807" t="n">
        <v>10</v>
      </c>
      <c r="AF807" t="n">
        <v>2</v>
      </c>
      <c r="AG807" t="n">
        <v>2</v>
      </c>
      <c r="AH807" t="n">
        <v>2</v>
      </c>
      <c r="AI807" t="n">
        <v>2</v>
      </c>
      <c r="AJ807" t="n">
        <v>5</v>
      </c>
      <c r="AK807" t="n">
        <v>5</v>
      </c>
      <c r="AL807" t="n">
        <v>2</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HYPERLINK("https://creighton-primo.hosted.exlibrisgroup.com/primo-explore/search?tab=default_tab&amp;search_scope=EVERYTHING&amp;vid=01CRU&amp;lang=en_US&amp;offset=0&amp;query=any,contains,991001965599702656","Catalog Record")</f>
        <v/>
      </c>
      <c r="AT807">
        <f>HYPERLINK("http://www.worldcat.org/oclc/24909226","WorldCat Record")</f>
        <v/>
      </c>
      <c r="AU807" t="inlineStr">
        <is>
          <t>367880340:eng</t>
        </is>
      </c>
      <c r="AV807" t="inlineStr">
        <is>
          <t>24909226</t>
        </is>
      </c>
      <c r="AW807" t="inlineStr">
        <is>
          <t>991001965599702656</t>
        </is>
      </c>
      <c r="AX807" t="inlineStr">
        <is>
          <t>991001965599702656</t>
        </is>
      </c>
      <c r="AY807" t="inlineStr">
        <is>
          <t>2271497240002656</t>
        </is>
      </c>
      <c r="AZ807" t="inlineStr">
        <is>
          <t>BOOK</t>
        </is>
      </c>
      <c r="BB807" t="inlineStr">
        <is>
          <t>9780800625122</t>
        </is>
      </c>
      <c r="BC807" t="inlineStr">
        <is>
          <t>32285001833697</t>
        </is>
      </c>
      <c r="BD807" t="inlineStr">
        <is>
          <t>893791891</t>
        </is>
      </c>
    </row>
    <row r="808">
      <c r="A808" t="inlineStr">
        <is>
          <t>No</t>
        </is>
      </c>
      <c r="B808" t="inlineStr">
        <is>
          <t>BV489.F74 C363 1996</t>
        </is>
      </c>
      <c r="C808" t="inlineStr">
        <is>
          <t>0                      BV 0489000F  74                 C  363         1996</t>
        </is>
      </c>
      <c r="D808" t="inlineStr">
        <is>
          <t>Francis of Assisi's canticle of the creatures : a modern spiritual path / Paul M. Allen and Joan deRis Allen.</t>
        </is>
      </c>
      <c r="F808" t="inlineStr">
        <is>
          <t>No</t>
        </is>
      </c>
      <c r="G808" t="inlineStr">
        <is>
          <t>1</t>
        </is>
      </c>
      <c r="H808" t="inlineStr">
        <is>
          <t>No</t>
        </is>
      </c>
      <c r="I808" t="inlineStr">
        <is>
          <t>No</t>
        </is>
      </c>
      <c r="J808" t="inlineStr">
        <is>
          <t>0</t>
        </is>
      </c>
      <c r="K808" t="inlineStr">
        <is>
          <t>Allen, Paul Marshall.</t>
        </is>
      </c>
      <c r="L808" t="inlineStr">
        <is>
          <t>New York : Continuum, 1996.</t>
        </is>
      </c>
      <c r="M808" t="inlineStr">
        <is>
          <t>1996</t>
        </is>
      </c>
      <c r="O808" t="inlineStr">
        <is>
          <t>eng</t>
        </is>
      </c>
      <c r="P808" t="inlineStr">
        <is>
          <t>nyu</t>
        </is>
      </c>
      <c r="R808" t="inlineStr">
        <is>
          <t xml:space="preserve">BV </t>
        </is>
      </c>
      <c r="S808" t="n">
        <v>7</v>
      </c>
      <c r="T808" t="n">
        <v>7</v>
      </c>
      <c r="U808" t="inlineStr">
        <is>
          <t>2005-09-13</t>
        </is>
      </c>
      <c r="V808" t="inlineStr">
        <is>
          <t>2005-09-13</t>
        </is>
      </c>
      <c r="W808" t="inlineStr">
        <is>
          <t>1996-10-24</t>
        </is>
      </c>
      <c r="X808" t="inlineStr">
        <is>
          <t>1996-10-24</t>
        </is>
      </c>
      <c r="Y808" t="n">
        <v>195</v>
      </c>
      <c r="Z808" t="n">
        <v>178</v>
      </c>
      <c r="AA808" t="n">
        <v>188</v>
      </c>
      <c r="AB808" t="n">
        <v>2</v>
      </c>
      <c r="AC808" t="n">
        <v>2</v>
      </c>
      <c r="AD808" t="n">
        <v>10</v>
      </c>
      <c r="AE808" t="n">
        <v>12</v>
      </c>
      <c r="AF808" t="n">
        <v>4</v>
      </c>
      <c r="AG808" t="n">
        <v>4</v>
      </c>
      <c r="AH808" t="n">
        <v>2</v>
      </c>
      <c r="AI808" t="n">
        <v>4</v>
      </c>
      <c r="AJ808" t="n">
        <v>4</v>
      </c>
      <c r="AK808" t="n">
        <v>6</v>
      </c>
      <c r="AL808" t="n">
        <v>1</v>
      </c>
      <c r="AM808" t="n">
        <v>1</v>
      </c>
      <c r="AN808" t="n">
        <v>0</v>
      </c>
      <c r="AO808" t="n">
        <v>0</v>
      </c>
      <c r="AP808" t="inlineStr">
        <is>
          <t>No</t>
        </is>
      </c>
      <c r="AQ808" t="inlineStr">
        <is>
          <t>Yes</t>
        </is>
      </c>
      <c r="AR808">
        <f>HYPERLINK("http://catalog.hathitrust.org/Record/009923327","HathiTrust Record")</f>
        <v/>
      </c>
      <c r="AS808">
        <f>HYPERLINK("https://creighton-primo.hosted.exlibrisgroup.com/primo-explore/search?tab=default_tab&amp;search_scope=EVERYTHING&amp;vid=01CRU&amp;lang=en_US&amp;offset=0&amp;query=any,contains,991002573859702656","Catalog Record")</f>
        <v/>
      </c>
      <c r="AT808">
        <f>HYPERLINK("http://www.worldcat.org/oclc/33441794","WorldCat Record")</f>
        <v/>
      </c>
      <c r="AU808" t="inlineStr">
        <is>
          <t>837065018:eng</t>
        </is>
      </c>
      <c r="AV808" t="inlineStr">
        <is>
          <t>33441794</t>
        </is>
      </c>
      <c r="AW808" t="inlineStr">
        <is>
          <t>991002573859702656</t>
        </is>
      </c>
      <c r="AX808" t="inlineStr">
        <is>
          <t>991002573859702656</t>
        </is>
      </c>
      <c r="AY808" t="inlineStr">
        <is>
          <t>2262925790002656</t>
        </is>
      </c>
      <c r="AZ808" t="inlineStr">
        <is>
          <t>BOOK</t>
        </is>
      </c>
      <c r="BB808" t="inlineStr">
        <is>
          <t>9780826408761</t>
        </is>
      </c>
      <c r="BC808" t="inlineStr">
        <is>
          <t>32285002368693</t>
        </is>
      </c>
      <c r="BD808" t="inlineStr">
        <is>
          <t>893427747</t>
        </is>
      </c>
    </row>
    <row r="809">
      <c r="A809" t="inlineStr">
        <is>
          <t>No</t>
        </is>
      </c>
      <c r="B809" t="inlineStr">
        <is>
          <t>BV489.F74 C37413 1977</t>
        </is>
      </c>
      <c r="C809" t="inlineStr">
        <is>
          <t>0                      BV 0489000F  74                 C  37413       1977</t>
        </is>
      </c>
      <c r="D809" t="inlineStr">
        <is>
          <t>The Canticle of creatures : symbols of union : an analysis of St. Francis of Assisi / by Éloi Leclerc ; translated by Matthew J. O'Connell.</t>
        </is>
      </c>
      <c r="F809" t="inlineStr">
        <is>
          <t>No</t>
        </is>
      </c>
      <c r="G809" t="inlineStr">
        <is>
          <t>1</t>
        </is>
      </c>
      <c r="H809" t="inlineStr">
        <is>
          <t>No</t>
        </is>
      </c>
      <c r="I809" t="inlineStr">
        <is>
          <t>No</t>
        </is>
      </c>
      <c r="J809" t="inlineStr">
        <is>
          <t>0</t>
        </is>
      </c>
      <c r="K809" t="inlineStr">
        <is>
          <t>Leclerc, Éloi, 1921-2016.</t>
        </is>
      </c>
      <c r="L809" t="inlineStr">
        <is>
          <t>Chicago : Franciscan Herald Press, c1977.</t>
        </is>
      </c>
      <c r="M809" t="inlineStr">
        <is>
          <t>1977</t>
        </is>
      </c>
      <c r="O809" t="inlineStr">
        <is>
          <t>eng</t>
        </is>
      </c>
      <c r="P809" t="inlineStr">
        <is>
          <t>ilu</t>
        </is>
      </c>
      <c r="R809" t="inlineStr">
        <is>
          <t xml:space="preserve">BV </t>
        </is>
      </c>
      <c r="S809" t="n">
        <v>9</v>
      </c>
      <c r="T809" t="n">
        <v>9</v>
      </c>
      <c r="U809" t="inlineStr">
        <is>
          <t>2005-09-11</t>
        </is>
      </c>
      <c r="V809" t="inlineStr">
        <is>
          <t>2005-09-11</t>
        </is>
      </c>
      <c r="W809" t="inlineStr">
        <is>
          <t>1992-01-08</t>
        </is>
      </c>
      <c r="X809" t="inlineStr">
        <is>
          <t>1992-01-08</t>
        </is>
      </c>
      <c r="Y809" t="n">
        <v>149</v>
      </c>
      <c r="Z809" t="n">
        <v>132</v>
      </c>
      <c r="AA809" t="n">
        <v>134</v>
      </c>
      <c r="AB809" t="n">
        <v>2</v>
      </c>
      <c r="AC809" t="n">
        <v>2</v>
      </c>
      <c r="AD809" t="n">
        <v>9</v>
      </c>
      <c r="AE809" t="n">
        <v>9</v>
      </c>
      <c r="AF809" t="n">
        <v>2</v>
      </c>
      <c r="AG809" t="n">
        <v>2</v>
      </c>
      <c r="AH809" t="n">
        <v>2</v>
      </c>
      <c r="AI809" t="n">
        <v>2</v>
      </c>
      <c r="AJ809" t="n">
        <v>6</v>
      </c>
      <c r="AK809" t="n">
        <v>6</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HYPERLINK("https://creighton-primo.hosted.exlibrisgroup.com/primo-explore/search?tab=default_tab&amp;search_scope=EVERYTHING&amp;vid=01CRU&amp;lang=en_US&amp;offset=0&amp;query=any,contains,991004139269702656","Catalog Record")</f>
        <v/>
      </c>
      <c r="AT809">
        <f>HYPERLINK("http://www.worldcat.org/oclc/2493511","WorldCat Record")</f>
        <v/>
      </c>
      <c r="AU809" t="inlineStr">
        <is>
          <t>5379274:eng</t>
        </is>
      </c>
      <c r="AV809" t="inlineStr">
        <is>
          <t>2493511</t>
        </is>
      </c>
      <c r="AW809" t="inlineStr">
        <is>
          <t>991004139269702656</t>
        </is>
      </c>
      <c r="AX809" t="inlineStr">
        <is>
          <t>991004139269702656</t>
        </is>
      </c>
      <c r="AY809" t="inlineStr">
        <is>
          <t>2256756360002656</t>
        </is>
      </c>
      <c r="AZ809" t="inlineStr">
        <is>
          <t>BOOK</t>
        </is>
      </c>
      <c r="BB809" t="inlineStr">
        <is>
          <t>9780819906243</t>
        </is>
      </c>
      <c r="BC809" t="inlineStr">
        <is>
          <t>32285000902568</t>
        </is>
      </c>
      <c r="BD809" t="inlineStr">
        <is>
          <t>893442248</t>
        </is>
      </c>
    </row>
    <row r="810">
      <c r="A810" t="inlineStr">
        <is>
          <t>No</t>
        </is>
      </c>
      <c r="B810" t="inlineStr">
        <is>
          <t>BV4905 .D8 1944</t>
        </is>
      </c>
      <c r="C810" t="inlineStr">
        <is>
          <t>0                      BV 4905000D  8           1944</t>
        </is>
      </c>
      <c r="D810" t="inlineStr">
        <is>
          <t>A key to happiness : the art of suffering / by Marguerite Duportal. Translated from the French by Romuald Pecasse, S. O. CIST.</t>
        </is>
      </c>
      <c r="F810" t="inlineStr">
        <is>
          <t>No</t>
        </is>
      </c>
      <c r="G810" t="inlineStr">
        <is>
          <t>1</t>
        </is>
      </c>
      <c r="H810" t="inlineStr">
        <is>
          <t>No</t>
        </is>
      </c>
      <c r="I810" t="inlineStr">
        <is>
          <t>No</t>
        </is>
      </c>
      <c r="J810" t="inlineStr">
        <is>
          <t>0</t>
        </is>
      </c>
      <c r="K810" t="inlineStr">
        <is>
          <t>Duportal, Marguerite, 1869-</t>
        </is>
      </c>
      <c r="L810" t="inlineStr">
        <is>
          <t>Milwaukee : The Bruce publishing company, [1944]</t>
        </is>
      </c>
      <c r="M810" t="inlineStr">
        <is>
          <t>1944</t>
        </is>
      </c>
      <c r="O810" t="inlineStr">
        <is>
          <t>eng</t>
        </is>
      </c>
      <c r="P810" t="inlineStr">
        <is>
          <t>wiu</t>
        </is>
      </c>
      <c r="Q810" t="inlineStr">
        <is>
          <t>Religion and culture series</t>
        </is>
      </c>
      <c r="R810" t="inlineStr">
        <is>
          <t xml:space="preserve">BV </t>
        </is>
      </c>
      <c r="S810" t="n">
        <v>1</v>
      </c>
      <c r="T810" t="n">
        <v>1</v>
      </c>
      <c r="U810" t="inlineStr">
        <is>
          <t>1998-08-30</t>
        </is>
      </c>
      <c r="V810" t="inlineStr">
        <is>
          <t>1998-08-30</t>
        </is>
      </c>
      <c r="W810" t="inlineStr">
        <is>
          <t>1992-03-11</t>
        </is>
      </c>
      <c r="X810" t="inlineStr">
        <is>
          <t>1992-03-11</t>
        </is>
      </c>
      <c r="Y810" t="n">
        <v>98</v>
      </c>
      <c r="Z810" t="n">
        <v>93</v>
      </c>
      <c r="AA810" t="n">
        <v>98</v>
      </c>
      <c r="AB810" t="n">
        <v>3</v>
      </c>
      <c r="AC810" t="n">
        <v>3</v>
      </c>
      <c r="AD810" t="n">
        <v>14</v>
      </c>
      <c r="AE810" t="n">
        <v>14</v>
      </c>
      <c r="AF810" t="n">
        <v>4</v>
      </c>
      <c r="AG810" t="n">
        <v>4</v>
      </c>
      <c r="AH810" t="n">
        <v>4</v>
      </c>
      <c r="AI810" t="n">
        <v>4</v>
      </c>
      <c r="AJ810" t="n">
        <v>12</v>
      </c>
      <c r="AK810" t="n">
        <v>12</v>
      </c>
      <c r="AL810" t="n">
        <v>0</v>
      </c>
      <c r="AM810" t="n">
        <v>0</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HYPERLINK("https://creighton-primo.hosted.exlibrisgroup.com/primo-explore/search?tab=default_tab&amp;search_scope=EVERYTHING&amp;vid=01CRU&amp;lang=en_US&amp;offset=0&amp;query=any,contains,991004132889702656","Catalog Record")</f>
        <v/>
      </c>
      <c r="AT810">
        <f>HYPERLINK("http://www.worldcat.org/oclc/2476365","WorldCat Record")</f>
        <v/>
      </c>
      <c r="AU810" t="inlineStr">
        <is>
          <t>423858009:eng</t>
        </is>
      </c>
      <c r="AV810" t="inlineStr">
        <is>
          <t>2476365</t>
        </is>
      </c>
      <c r="AW810" t="inlineStr">
        <is>
          <t>991004132889702656</t>
        </is>
      </c>
      <c r="AX810" t="inlineStr">
        <is>
          <t>991004132889702656</t>
        </is>
      </c>
      <c r="AY810" t="inlineStr">
        <is>
          <t>2269364110002656</t>
        </is>
      </c>
      <c r="AZ810" t="inlineStr">
        <is>
          <t>BOOK</t>
        </is>
      </c>
      <c r="BC810" t="inlineStr">
        <is>
          <t>32285000969559</t>
        </is>
      </c>
      <c r="BD810" t="inlineStr">
        <is>
          <t>893535828</t>
        </is>
      </c>
    </row>
    <row r="811">
      <c r="A811" t="inlineStr">
        <is>
          <t>No</t>
        </is>
      </c>
      <c r="B811" t="inlineStr">
        <is>
          <t>BV4905 .M272 1952</t>
        </is>
      </c>
      <c r="C811" t="inlineStr">
        <is>
          <t>0                      BV 4905000M  272         1952</t>
        </is>
      </c>
      <c r="D811" t="inlineStr">
        <is>
          <t>Suffering with Christ : an anthology of the writings of Dom Columba Marmion / compiled by Raymund Thibaut.</t>
        </is>
      </c>
      <c r="F811" t="inlineStr">
        <is>
          <t>No</t>
        </is>
      </c>
      <c r="G811" t="inlineStr">
        <is>
          <t>1</t>
        </is>
      </c>
      <c r="H811" t="inlineStr">
        <is>
          <t>No</t>
        </is>
      </c>
      <c r="I811" t="inlineStr">
        <is>
          <t>No</t>
        </is>
      </c>
      <c r="J811" t="inlineStr">
        <is>
          <t>0</t>
        </is>
      </c>
      <c r="K811" t="inlineStr">
        <is>
          <t>Marmion, Columba, 1858-1923.</t>
        </is>
      </c>
      <c r="L811" t="inlineStr">
        <is>
          <t>Westminster, Md. : Newman Press, 1952.</t>
        </is>
      </c>
      <c r="M811" t="inlineStr">
        <is>
          <t>1952</t>
        </is>
      </c>
      <c r="O811" t="inlineStr">
        <is>
          <t>eng</t>
        </is>
      </c>
      <c r="P811" t="inlineStr">
        <is>
          <t>mdu</t>
        </is>
      </c>
      <c r="R811" t="inlineStr">
        <is>
          <t xml:space="preserve">BV </t>
        </is>
      </c>
      <c r="S811" t="n">
        <v>6</v>
      </c>
      <c r="T811" t="n">
        <v>6</v>
      </c>
      <c r="U811" t="inlineStr">
        <is>
          <t>2010-07-26</t>
        </is>
      </c>
      <c r="V811" t="inlineStr">
        <is>
          <t>2010-07-26</t>
        </is>
      </c>
      <c r="W811" t="inlineStr">
        <is>
          <t>1992-03-11</t>
        </is>
      </c>
      <c r="X811" t="inlineStr">
        <is>
          <t>1992-03-11</t>
        </is>
      </c>
      <c r="Y811" t="n">
        <v>127</v>
      </c>
      <c r="Z811" t="n">
        <v>123</v>
      </c>
      <c r="AA811" t="n">
        <v>151</v>
      </c>
      <c r="AB811" t="n">
        <v>3</v>
      </c>
      <c r="AC811" t="n">
        <v>3</v>
      </c>
      <c r="AD811" t="n">
        <v>22</v>
      </c>
      <c r="AE811" t="n">
        <v>23</v>
      </c>
      <c r="AF811" t="n">
        <v>4</v>
      </c>
      <c r="AG811" t="n">
        <v>5</v>
      </c>
      <c r="AH811" t="n">
        <v>7</v>
      </c>
      <c r="AI811" t="n">
        <v>7</v>
      </c>
      <c r="AJ811" t="n">
        <v>18</v>
      </c>
      <c r="AK811" t="n">
        <v>19</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HYPERLINK("https://creighton-primo.hosted.exlibrisgroup.com/primo-explore/search?tab=default_tab&amp;search_scope=EVERYTHING&amp;vid=01CRU&amp;lang=en_US&amp;offset=0&amp;query=any,contains,991004131639702656","Catalog Record")</f>
        <v/>
      </c>
      <c r="AT811">
        <f>HYPERLINK("http://www.worldcat.org/oclc/2471340","WorldCat Record")</f>
        <v/>
      </c>
      <c r="AU811" t="inlineStr">
        <is>
          <t>5083621:eng</t>
        </is>
      </c>
      <c r="AV811" t="inlineStr">
        <is>
          <t>2471340</t>
        </is>
      </c>
      <c r="AW811" t="inlineStr">
        <is>
          <t>991004131639702656</t>
        </is>
      </c>
      <c r="AX811" t="inlineStr">
        <is>
          <t>991004131639702656</t>
        </is>
      </c>
      <c r="AY811" t="inlineStr">
        <is>
          <t>2259518800002656</t>
        </is>
      </c>
      <c r="AZ811" t="inlineStr">
        <is>
          <t>BOOK</t>
        </is>
      </c>
      <c r="BC811" t="inlineStr">
        <is>
          <t>32285000969567</t>
        </is>
      </c>
      <c r="BD811" t="inlineStr">
        <is>
          <t>893519277</t>
        </is>
      </c>
    </row>
    <row r="812">
      <c r="A812" t="inlineStr">
        <is>
          <t>No</t>
        </is>
      </c>
      <c r="B812" t="inlineStr">
        <is>
          <t>BV4905 .P383 1963</t>
        </is>
      </c>
      <c r="C812" t="inlineStr">
        <is>
          <t>0                      BV 4905000P  383         1963</t>
        </is>
      </c>
      <c r="D812" t="inlineStr">
        <is>
          <t>Joy in the face of death / by Alphonse de Parvillez. Translated by Pierre de Fontnouvelle.</t>
        </is>
      </c>
      <c r="F812" t="inlineStr">
        <is>
          <t>No</t>
        </is>
      </c>
      <c r="G812" t="inlineStr">
        <is>
          <t>1</t>
        </is>
      </c>
      <c r="H812" t="inlineStr">
        <is>
          <t>No</t>
        </is>
      </c>
      <c r="I812" t="inlineStr">
        <is>
          <t>No</t>
        </is>
      </c>
      <c r="J812" t="inlineStr">
        <is>
          <t>0</t>
        </is>
      </c>
      <c r="K812" t="inlineStr">
        <is>
          <t>Parvillez, Alphonse de.</t>
        </is>
      </c>
      <c r="L812" t="inlineStr">
        <is>
          <t>New York : Desclee, 1963.</t>
        </is>
      </c>
      <c r="M812" t="inlineStr">
        <is>
          <t>1963</t>
        </is>
      </c>
      <c r="O812" t="inlineStr">
        <is>
          <t>eng</t>
        </is>
      </c>
      <c r="P812" t="inlineStr">
        <is>
          <t>nyu</t>
        </is>
      </c>
      <c r="R812" t="inlineStr">
        <is>
          <t xml:space="preserve">BV </t>
        </is>
      </c>
      <c r="S812" t="n">
        <v>2</v>
      </c>
      <c r="T812" t="n">
        <v>2</v>
      </c>
      <c r="U812" t="inlineStr">
        <is>
          <t>1992-06-21</t>
        </is>
      </c>
      <c r="V812" t="inlineStr">
        <is>
          <t>1992-06-21</t>
        </is>
      </c>
      <c r="W812" t="inlineStr">
        <is>
          <t>1992-03-11</t>
        </is>
      </c>
      <c r="X812" t="inlineStr">
        <is>
          <t>1992-03-11</t>
        </is>
      </c>
      <c r="Y812" t="n">
        <v>151</v>
      </c>
      <c r="Z812" t="n">
        <v>137</v>
      </c>
      <c r="AA812" t="n">
        <v>142</v>
      </c>
      <c r="AB812" t="n">
        <v>3</v>
      </c>
      <c r="AC812" t="n">
        <v>3</v>
      </c>
      <c r="AD812" t="n">
        <v>20</v>
      </c>
      <c r="AE812" t="n">
        <v>20</v>
      </c>
      <c r="AF812" t="n">
        <v>5</v>
      </c>
      <c r="AG812" t="n">
        <v>5</v>
      </c>
      <c r="AH812" t="n">
        <v>7</v>
      </c>
      <c r="AI812" t="n">
        <v>7</v>
      </c>
      <c r="AJ812" t="n">
        <v>16</v>
      </c>
      <c r="AK812" t="n">
        <v>16</v>
      </c>
      <c r="AL812" t="n">
        <v>0</v>
      </c>
      <c r="AM812" t="n">
        <v>0</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HYPERLINK("https://creighton-primo.hosted.exlibrisgroup.com/primo-explore/search?tab=default_tab&amp;search_scope=EVERYTHING&amp;vid=01CRU&amp;lang=en_US&amp;offset=0&amp;query=any,contains,991004204099702656","Catalog Record")</f>
        <v/>
      </c>
      <c r="AT812">
        <f>HYPERLINK("http://www.worldcat.org/oclc/2659556","WorldCat Record")</f>
        <v/>
      </c>
      <c r="AU812" t="inlineStr">
        <is>
          <t>4239985192:eng</t>
        </is>
      </c>
      <c r="AV812" t="inlineStr">
        <is>
          <t>2659556</t>
        </is>
      </c>
      <c r="AW812" t="inlineStr">
        <is>
          <t>991004204099702656</t>
        </is>
      </c>
      <c r="AX812" t="inlineStr">
        <is>
          <t>991004204099702656</t>
        </is>
      </c>
      <c r="AY812" t="inlineStr">
        <is>
          <t>2256410080002656</t>
        </is>
      </c>
      <c r="AZ812" t="inlineStr">
        <is>
          <t>BOOK</t>
        </is>
      </c>
      <c r="BC812" t="inlineStr">
        <is>
          <t>32285000969575</t>
        </is>
      </c>
      <c r="BD812" t="inlineStr">
        <is>
          <t>893506542</t>
        </is>
      </c>
    </row>
    <row r="813">
      <c r="A813" t="inlineStr">
        <is>
          <t>No</t>
        </is>
      </c>
      <c r="B813" t="inlineStr">
        <is>
          <t>BV4905.2 .G73 1975</t>
        </is>
      </c>
      <c r="C813" t="inlineStr">
        <is>
          <t>0                      BV 4905200G  73          1975</t>
        </is>
      </c>
      <c r="D813" t="inlineStr">
        <is>
          <t>Consolation philosophy : Greek and Christian paideia in Basil and the two Gregories / by Robert C. Gregg.</t>
        </is>
      </c>
      <c r="F813" t="inlineStr">
        <is>
          <t>No</t>
        </is>
      </c>
      <c r="G813" t="inlineStr">
        <is>
          <t>1</t>
        </is>
      </c>
      <c r="H813" t="inlineStr">
        <is>
          <t>No</t>
        </is>
      </c>
      <c r="I813" t="inlineStr">
        <is>
          <t>No</t>
        </is>
      </c>
      <c r="J813" t="inlineStr">
        <is>
          <t>0</t>
        </is>
      </c>
      <c r="K813" t="inlineStr">
        <is>
          <t>Gregg, Robert C.</t>
        </is>
      </c>
      <c r="L813" t="inlineStr">
        <is>
          <t>Cambridge, Mass. : Philadelphia Patristic Foundation : [sole distributors, Greeno, Hadden], 1975.</t>
        </is>
      </c>
      <c r="M813" t="inlineStr">
        <is>
          <t>1975</t>
        </is>
      </c>
      <c r="O813" t="inlineStr">
        <is>
          <t>eng</t>
        </is>
      </c>
      <c r="P813" t="inlineStr">
        <is>
          <t>mau</t>
        </is>
      </c>
      <c r="Q813" t="inlineStr">
        <is>
          <t>Patristic monograph series ; no. 3</t>
        </is>
      </c>
      <c r="R813" t="inlineStr">
        <is>
          <t xml:space="preserve">BV </t>
        </is>
      </c>
      <c r="S813" t="n">
        <v>4</v>
      </c>
      <c r="T813" t="n">
        <v>4</v>
      </c>
      <c r="U813" t="inlineStr">
        <is>
          <t>2007-12-04</t>
        </is>
      </c>
      <c r="V813" t="inlineStr">
        <is>
          <t>2007-12-04</t>
        </is>
      </c>
      <c r="W813" t="inlineStr">
        <is>
          <t>1992-03-11</t>
        </is>
      </c>
      <c r="X813" t="inlineStr">
        <is>
          <t>1992-03-11</t>
        </is>
      </c>
      <c r="Y813" t="n">
        <v>194</v>
      </c>
      <c r="Z813" t="n">
        <v>144</v>
      </c>
      <c r="AA813" t="n">
        <v>149</v>
      </c>
      <c r="AB813" t="n">
        <v>1</v>
      </c>
      <c r="AC813" t="n">
        <v>1</v>
      </c>
      <c r="AD813" t="n">
        <v>10</v>
      </c>
      <c r="AE813" t="n">
        <v>12</v>
      </c>
      <c r="AF813" t="n">
        <v>2</v>
      </c>
      <c r="AG813" t="n">
        <v>2</v>
      </c>
      <c r="AH813" t="n">
        <v>4</v>
      </c>
      <c r="AI813" t="n">
        <v>4</v>
      </c>
      <c r="AJ813" t="n">
        <v>7</v>
      </c>
      <c r="AK813" t="n">
        <v>9</v>
      </c>
      <c r="AL813" t="n">
        <v>0</v>
      </c>
      <c r="AM813" t="n">
        <v>0</v>
      </c>
      <c r="AN813" t="n">
        <v>0</v>
      </c>
      <c r="AO813" t="n">
        <v>0</v>
      </c>
      <c r="AP813" t="inlineStr">
        <is>
          <t>No</t>
        </is>
      </c>
      <c r="AQ813" t="inlineStr">
        <is>
          <t>Yes</t>
        </is>
      </c>
      <c r="AR813">
        <f>HYPERLINK("http://catalog.hathitrust.org/Record/006019493","HathiTrust Record")</f>
        <v/>
      </c>
      <c r="AS813">
        <f>HYPERLINK("https://creighton-primo.hosted.exlibrisgroup.com/primo-explore/search?tab=default_tab&amp;search_scope=EVERYTHING&amp;vid=01CRU&amp;lang=en_US&amp;offset=0&amp;query=any,contains,991004017139702656","Catalog Record")</f>
        <v/>
      </c>
      <c r="AT813">
        <f>HYPERLINK("http://www.worldcat.org/oclc/2113883","WorldCat Record")</f>
        <v/>
      </c>
      <c r="AU813" t="inlineStr">
        <is>
          <t>2005069:eng</t>
        </is>
      </c>
      <c r="AV813" t="inlineStr">
        <is>
          <t>2113883</t>
        </is>
      </c>
      <c r="AW813" t="inlineStr">
        <is>
          <t>991004017139702656</t>
        </is>
      </c>
      <c r="AX813" t="inlineStr">
        <is>
          <t>991004017139702656</t>
        </is>
      </c>
      <c r="AY813" t="inlineStr">
        <is>
          <t>2262866220002656</t>
        </is>
      </c>
      <c r="AZ813" t="inlineStr">
        <is>
          <t>BOOK</t>
        </is>
      </c>
      <c r="BC813" t="inlineStr">
        <is>
          <t>32285000969583</t>
        </is>
      </c>
      <c r="BD813" t="inlineStr">
        <is>
          <t>893324828</t>
        </is>
      </c>
    </row>
    <row r="814">
      <c r="A814" t="inlineStr">
        <is>
          <t>No</t>
        </is>
      </c>
      <c r="B814" t="inlineStr">
        <is>
          <t>BV4905.2 .L48 1985</t>
        </is>
      </c>
      <c r="C814" t="inlineStr">
        <is>
          <t>0                      BV 4905200L  48          1985</t>
        </is>
      </c>
      <c r="D814" t="inlineStr">
        <is>
          <t>Healing the greatest hurt / Dennis Linn, Matthew Linn, Sheila Fabricant.</t>
        </is>
      </c>
      <c r="F814" t="inlineStr">
        <is>
          <t>No</t>
        </is>
      </c>
      <c r="G814" t="inlineStr">
        <is>
          <t>1</t>
        </is>
      </c>
      <c r="H814" t="inlineStr">
        <is>
          <t>No</t>
        </is>
      </c>
      <c r="I814" t="inlineStr">
        <is>
          <t>No</t>
        </is>
      </c>
      <c r="J814" t="inlineStr">
        <is>
          <t>0</t>
        </is>
      </c>
      <c r="K814" t="inlineStr">
        <is>
          <t>Linn, Dennis.</t>
        </is>
      </c>
      <c r="L814" t="inlineStr">
        <is>
          <t>New York : Paulist Press, c1985.</t>
        </is>
      </c>
      <c r="M814" t="inlineStr">
        <is>
          <t>1985</t>
        </is>
      </c>
      <c r="O814" t="inlineStr">
        <is>
          <t>eng</t>
        </is>
      </c>
      <c r="P814" t="inlineStr">
        <is>
          <t>nyu</t>
        </is>
      </c>
      <c r="R814" t="inlineStr">
        <is>
          <t xml:space="preserve">BV </t>
        </is>
      </c>
      <c r="S814" t="n">
        <v>5</v>
      </c>
      <c r="T814" t="n">
        <v>5</v>
      </c>
      <c r="U814" t="inlineStr">
        <is>
          <t>2009-06-02</t>
        </is>
      </c>
      <c r="V814" t="inlineStr">
        <is>
          <t>2009-06-02</t>
        </is>
      </c>
      <c r="W814" t="inlineStr">
        <is>
          <t>1991-03-11</t>
        </is>
      </c>
      <c r="X814" t="inlineStr">
        <is>
          <t>1991-03-11</t>
        </is>
      </c>
      <c r="Y814" t="n">
        <v>204</v>
      </c>
      <c r="Z814" t="n">
        <v>173</v>
      </c>
      <c r="AA814" t="n">
        <v>179</v>
      </c>
      <c r="AB814" t="n">
        <v>3</v>
      </c>
      <c r="AC814" t="n">
        <v>3</v>
      </c>
      <c r="AD814" t="n">
        <v>12</v>
      </c>
      <c r="AE814" t="n">
        <v>12</v>
      </c>
      <c r="AF814" t="n">
        <v>1</v>
      </c>
      <c r="AG814" t="n">
        <v>1</v>
      </c>
      <c r="AH814" t="n">
        <v>3</v>
      </c>
      <c r="AI814" t="n">
        <v>3</v>
      </c>
      <c r="AJ814" t="n">
        <v>9</v>
      </c>
      <c r="AK814" t="n">
        <v>9</v>
      </c>
      <c r="AL814" t="n">
        <v>1</v>
      </c>
      <c r="AM814" t="n">
        <v>1</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HYPERLINK("https://creighton-primo.hosted.exlibrisgroup.com/primo-explore/search?tab=default_tab&amp;search_scope=EVERYTHING&amp;vid=01CRU&amp;lang=en_US&amp;offset=0&amp;query=any,contains,991000800459702656","Catalog Record")</f>
        <v/>
      </c>
      <c r="AT814">
        <f>HYPERLINK("http://www.worldcat.org/oclc/13219268","WorldCat Record")</f>
        <v/>
      </c>
      <c r="AU814" t="inlineStr">
        <is>
          <t>4494938252:eng</t>
        </is>
      </c>
      <c r="AV814" t="inlineStr">
        <is>
          <t>13219268</t>
        </is>
      </c>
      <c r="AW814" t="inlineStr">
        <is>
          <t>991000800459702656</t>
        </is>
      </c>
      <c r="AX814" t="inlineStr">
        <is>
          <t>991000800459702656</t>
        </is>
      </c>
      <c r="AY814" t="inlineStr">
        <is>
          <t>2260986510002656</t>
        </is>
      </c>
      <c r="AZ814" t="inlineStr">
        <is>
          <t>BOOK</t>
        </is>
      </c>
      <c r="BB814" t="inlineStr">
        <is>
          <t>9780809127146</t>
        </is>
      </c>
      <c r="BC814" t="inlineStr">
        <is>
          <t>32285000535186</t>
        </is>
      </c>
      <c r="BD814" t="inlineStr">
        <is>
          <t>893865694</t>
        </is>
      </c>
    </row>
    <row r="815">
      <c r="A815" t="inlineStr">
        <is>
          <t>No</t>
        </is>
      </c>
      <c r="B815" t="inlineStr">
        <is>
          <t>BV4905.2 .P43 1987</t>
        </is>
      </c>
      <c r="C815" t="inlineStr">
        <is>
          <t>0                      BV 4905200P  43          1987</t>
        </is>
      </c>
      <c r="D815" t="inlineStr">
        <is>
          <t>Learning to say goodbye : dealing with death and dying / by Rosalie Peck and Charlotte Stefanics.</t>
        </is>
      </c>
      <c r="F815" t="inlineStr">
        <is>
          <t>No</t>
        </is>
      </c>
      <c r="G815" t="inlineStr">
        <is>
          <t>1</t>
        </is>
      </c>
      <c r="H815" t="inlineStr">
        <is>
          <t>No</t>
        </is>
      </c>
      <c r="I815" t="inlineStr">
        <is>
          <t>No</t>
        </is>
      </c>
      <c r="J815" t="inlineStr">
        <is>
          <t>0</t>
        </is>
      </c>
      <c r="K815" t="inlineStr">
        <is>
          <t>Peck, Rosalie.</t>
        </is>
      </c>
      <c r="L815" t="inlineStr">
        <is>
          <t>Muncie, IN : Accelerated Development Inc., c1987.</t>
        </is>
      </c>
      <c r="M815" t="inlineStr">
        <is>
          <t>1987</t>
        </is>
      </c>
      <c r="O815" t="inlineStr">
        <is>
          <t>eng</t>
        </is>
      </c>
      <c r="P815" t="inlineStr">
        <is>
          <t>inu</t>
        </is>
      </c>
      <c r="R815" t="inlineStr">
        <is>
          <t xml:space="preserve">BV </t>
        </is>
      </c>
      <c r="S815" t="n">
        <v>7</v>
      </c>
      <c r="T815" t="n">
        <v>7</v>
      </c>
      <c r="U815" t="inlineStr">
        <is>
          <t>2004-04-20</t>
        </is>
      </c>
      <c r="V815" t="inlineStr">
        <is>
          <t>2004-04-20</t>
        </is>
      </c>
      <c r="W815" t="inlineStr">
        <is>
          <t>1990-04-25</t>
        </is>
      </c>
      <c r="X815" t="inlineStr">
        <is>
          <t>1990-04-25</t>
        </is>
      </c>
      <c r="Y815" t="n">
        <v>203</v>
      </c>
      <c r="Z815" t="n">
        <v>193</v>
      </c>
      <c r="AA815" t="n">
        <v>214</v>
      </c>
      <c r="AB815" t="n">
        <v>4</v>
      </c>
      <c r="AC815" t="n">
        <v>4</v>
      </c>
      <c r="AD815" t="n">
        <v>5</v>
      </c>
      <c r="AE815" t="n">
        <v>5</v>
      </c>
      <c r="AF815" t="n">
        <v>2</v>
      </c>
      <c r="AG815" t="n">
        <v>2</v>
      </c>
      <c r="AH815" t="n">
        <v>0</v>
      </c>
      <c r="AI815" t="n">
        <v>0</v>
      </c>
      <c r="AJ815" t="n">
        <v>1</v>
      </c>
      <c r="AK815" t="n">
        <v>1</v>
      </c>
      <c r="AL815" t="n">
        <v>2</v>
      </c>
      <c r="AM815" t="n">
        <v>2</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HYPERLINK("https://creighton-primo.hosted.exlibrisgroup.com/primo-explore/search?tab=default_tab&amp;search_scope=EVERYTHING&amp;vid=01CRU&amp;lang=en_US&amp;offset=0&amp;query=any,contains,991001156059702656","Catalog Record")</f>
        <v/>
      </c>
      <c r="AT815">
        <f>HYPERLINK("http://www.worldcat.org/oclc/16856952","WorldCat Record")</f>
        <v/>
      </c>
      <c r="AU815" t="inlineStr">
        <is>
          <t>2940381:eng</t>
        </is>
      </c>
      <c r="AV815" t="inlineStr">
        <is>
          <t>16856952</t>
        </is>
      </c>
      <c r="AW815" t="inlineStr">
        <is>
          <t>991001156059702656</t>
        </is>
      </c>
      <c r="AX815" t="inlineStr">
        <is>
          <t>991001156059702656</t>
        </is>
      </c>
      <c r="AY815" t="inlineStr">
        <is>
          <t>2255523580002656</t>
        </is>
      </c>
      <c r="AZ815" t="inlineStr">
        <is>
          <t>BOOK</t>
        </is>
      </c>
      <c r="BB815" t="inlineStr">
        <is>
          <t>9780915202713</t>
        </is>
      </c>
      <c r="BC815" t="inlineStr">
        <is>
          <t>32285000132737</t>
        </is>
      </c>
      <c r="BD815" t="inlineStr">
        <is>
          <t>893420122</t>
        </is>
      </c>
    </row>
    <row r="816">
      <c r="A816" t="inlineStr">
        <is>
          <t>No</t>
        </is>
      </c>
      <c r="B816" t="inlineStr">
        <is>
          <t>BV4907 .S58</t>
        </is>
      </c>
      <c r="C816" t="inlineStr">
        <is>
          <t>0                      BV 4907000S  58</t>
        </is>
      </c>
      <c r="D816" t="inlineStr">
        <is>
          <t>Children in the New England mind : in death and in life / by Peter Gregg Slater.</t>
        </is>
      </c>
      <c r="F816" t="inlineStr">
        <is>
          <t>No</t>
        </is>
      </c>
      <c r="G816" t="inlineStr">
        <is>
          <t>1</t>
        </is>
      </c>
      <c r="H816" t="inlineStr">
        <is>
          <t>No</t>
        </is>
      </c>
      <c r="I816" t="inlineStr">
        <is>
          <t>No</t>
        </is>
      </c>
      <c r="J816" t="inlineStr">
        <is>
          <t>0</t>
        </is>
      </c>
      <c r="K816" t="inlineStr">
        <is>
          <t>Slater, Peter Gregg, 1940-</t>
        </is>
      </c>
      <c r="L816" t="inlineStr">
        <is>
          <t>Hamden, Conn. : Archon Books, 1977.</t>
        </is>
      </c>
      <c r="M816" t="inlineStr">
        <is>
          <t>1977</t>
        </is>
      </c>
      <c r="O816" t="inlineStr">
        <is>
          <t>eng</t>
        </is>
      </c>
      <c r="P816" t="inlineStr">
        <is>
          <t>ctu</t>
        </is>
      </c>
      <c r="R816" t="inlineStr">
        <is>
          <t xml:space="preserve">BV </t>
        </is>
      </c>
      <c r="S816" t="n">
        <v>0</v>
      </c>
      <c r="T816" t="n">
        <v>0</v>
      </c>
      <c r="U816" t="inlineStr">
        <is>
          <t>2009-05-18</t>
        </is>
      </c>
      <c r="V816" t="inlineStr">
        <is>
          <t>2009-05-18</t>
        </is>
      </c>
      <c r="W816" t="inlineStr">
        <is>
          <t>1992-03-11</t>
        </is>
      </c>
      <c r="X816" t="inlineStr">
        <is>
          <t>1992-03-11</t>
        </is>
      </c>
      <c r="Y816" t="n">
        <v>700</v>
      </c>
      <c r="Z816" t="n">
        <v>626</v>
      </c>
      <c r="AA816" t="n">
        <v>628</v>
      </c>
      <c r="AB816" t="n">
        <v>4</v>
      </c>
      <c r="AC816" t="n">
        <v>4</v>
      </c>
      <c r="AD816" t="n">
        <v>31</v>
      </c>
      <c r="AE816" t="n">
        <v>31</v>
      </c>
      <c r="AF816" t="n">
        <v>14</v>
      </c>
      <c r="AG816" t="n">
        <v>14</v>
      </c>
      <c r="AH816" t="n">
        <v>6</v>
      </c>
      <c r="AI816" t="n">
        <v>6</v>
      </c>
      <c r="AJ816" t="n">
        <v>16</v>
      </c>
      <c r="AK816" t="n">
        <v>16</v>
      </c>
      <c r="AL816" t="n">
        <v>3</v>
      </c>
      <c r="AM816" t="n">
        <v>3</v>
      </c>
      <c r="AN816" t="n">
        <v>0</v>
      </c>
      <c r="AO816" t="n">
        <v>0</v>
      </c>
      <c r="AP816" t="inlineStr">
        <is>
          <t>No</t>
        </is>
      </c>
      <c r="AQ816" t="inlineStr">
        <is>
          <t>Yes</t>
        </is>
      </c>
      <c r="AR816">
        <f>HYPERLINK("http://catalog.hathitrust.org/Record/000213579","HathiTrust Record")</f>
        <v/>
      </c>
      <c r="AS816">
        <f>HYPERLINK("https://creighton-primo.hosted.exlibrisgroup.com/primo-explore/search?tab=default_tab&amp;search_scope=EVERYTHING&amp;vid=01CRU&amp;lang=en_US&amp;offset=0&amp;query=any,contains,991004296229702656","Catalog Record")</f>
        <v/>
      </c>
      <c r="AT816">
        <f>HYPERLINK("http://www.worldcat.org/oclc/2964823","WorldCat Record")</f>
        <v/>
      </c>
      <c r="AU816" t="inlineStr">
        <is>
          <t>417635:eng</t>
        </is>
      </c>
      <c r="AV816" t="inlineStr">
        <is>
          <t>2964823</t>
        </is>
      </c>
      <c r="AW816" t="inlineStr">
        <is>
          <t>991004296229702656</t>
        </is>
      </c>
      <c r="AX816" t="inlineStr">
        <is>
          <t>991004296229702656</t>
        </is>
      </c>
      <c r="AY816" t="inlineStr">
        <is>
          <t>2272452900002656</t>
        </is>
      </c>
      <c r="AZ816" t="inlineStr">
        <is>
          <t>BOOK</t>
        </is>
      </c>
      <c r="BB816" t="inlineStr">
        <is>
          <t>9780208016522</t>
        </is>
      </c>
      <c r="BC816" t="inlineStr">
        <is>
          <t>32285000969591</t>
        </is>
      </c>
      <c r="BD816" t="inlineStr">
        <is>
          <t>893411351</t>
        </is>
      </c>
    </row>
    <row r="817">
      <c r="A817" t="inlineStr">
        <is>
          <t>No</t>
        </is>
      </c>
      <c r="B817" t="inlineStr">
        <is>
          <t>BV4908 .C87 1990</t>
        </is>
      </c>
      <c r="C817" t="inlineStr">
        <is>
          <t>0                      BV 4908000C  87          1990</t>
        </is>
      </c>
      <c r="D817" t="inlineStr">
        <is>
          <t>When your spouse dies : a concise and practical source of help and advice / Cathleen L. Curry.</t>
        </is>
      </c>
      <c r="F817" t="inlineStr">
        <is>
          <t>No</t>
        </is>
      </c>
      <c r="G817" t="inlineStr">
        <is>
          <t>1</t>
        </is>
      </c>
      <c r="H817" t="inlineStr">
        <is>
          <t>No</t>
        </is>
      </c>
      <c r="I817" t="inlineStr">
        <is>
          <t>No</t>
        </is>
      </c>
      <c r="J817" t="inlineStr">
        <is>
          <t>0</t>
        </is>
      </c>
      <c r="K817" t="inlineStr">
        <is>
          <t>Curry, Cathleen L.</t>
        </is>
      </c>
      <c r="L817" t="inlineStr">
        <is>
          <t>Notre Dame, IN : Ave Maria Press, c1990.</t>
        </is>
      </c>
      <c r="M817" t="inlineStr">
        <is>
          <t>1990</t>
        </is>
      </c>
      <c r="O817" t="inlineStr">
        <is>
          <t>eng</t>
        </is>
      </c>
      <c r="P817" t="inlineStr">
        <is>
          <t>inu</t>
        </is>
      </c>
      <c r="R817" t="inlineStr">
        <is>
          <t xml:space="preserve">BV </t>
        </is>
      </c>
      <c r="S817" t="n">
        <v>1</v>
      </c>
      <c r="T817" t="n">
        <v>1</v>
      </c>
      <c r="U817" t="inlineStr">
        <is>
          <t>2007-06-11</t>
        </is>
      </c>
      <c r="V817" t="inlineStr">
        <is>
          <t>2007-06-11</t>
        </is>
      </c>
      <c r="W817" t="inlineStr">
        <is>
          <t>2007-06-11</t>
        </is>
      </c>
      <c r="X817" t="inlineStr">
        <is>
          <t>2007-06-11</t>
        </is>
      </c>
      <c r="Y817" t="n">
        <v>161</v>
      </c>
      <c r="Z817" t="n">
        <v>145</v>
      </c>
      <c r="AA817" t="n">
        <v>145</v>
      </c>
      <c r="AB817" t="n">
        <v>3</v>
      </c>
      <c r="AC817" t="n">
        <v>3</v>
      </c>
      <c r="AD817" t="n">
        <v>3</v>
      </c>
      <c r="AE817" t="n">
        <v>3</v>
      </c>
      <c r="AF817" t="n">
        <v>1</v>
      </c>
      <c r="AG817" t="n">
        <v>1</v>
      </c>
      <c r="AH817" t="n">
        <v>0</v>
      </c>
      <c r="AI817" t="n">
        <v>0</v>
      </c>
      <c r="AJ817" t="n">
        <v>2</v>
      </c>
      <c r="AK817" t="n">
        <v>2</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HYPERLINK("https://creighton-primo.hosted.exlibrisgroup.com/primo-explore/search?tab=default_tab&amp;search_scope=EVERYTHING&amp;vid=01CRU&amp;lang=en_US&amp;offset=0&amp;query=any,contains,991005090499702656","Catalog Record")</f>
        <v/>
      </c>
      <c r="AT817">
        <f>HYPERLINK("http://www.worldcat.org/oclc/21038722","WorldCat Record")</f>
        <v/>
      </c>
      <c r="AU817" t="inlineStr">
        <is>
          <t>22667431:eng</t>
        </is>
      </c>
      <c r="AV817" t="inlineStr">
        <is>
          <t>21038722</t>
        </is>
      </c>
      <c r="AW817" t="inlineStr">
        <is>
          <t>991005090499702656</t>
        </is>
      </c>
      <c r="AX817" t="inlineStr">
        <is>
          <t>991005090499702656</t>
        </is>
      </c>
      <c r="AY817" t="inlineStr">
        <is>
          <t>2256674220002656</t>
        </is>
      </c>
      <c r="AZ817" t="inlineStr">
        <is>
          <t>BOOK</t>
        </is>
      </c>
      <c r="BB817" t="inlineStr">
        <is>
          <t>9780877934165</t>
        </is>
      </c>
      <c r="BC817" t="inlineStr">
        <is>
          <t>32285005316384</t>
        </is>
      </c>
      <c r="BD817" t="inlineStr">
        <is>
          <t>893694744</t>
        </is>
      </c>
    </row>
    <row r="818">
      <c r="A818" t="inlineStr">
        <is>
          <t>No</t>
        </is>
      </c>
      <c r="B818" t="inlineStr">
        <is>
          <t>BV4908.5 .R38 1992</t>
        </is>
      </c>
      <c r="C818" t="inlineStr">
        <is>
          <t>0                      BV 4908500R  38          1992</t>
        </is>
      </c>
      <c r="D818" t="inlineStr">
        <is>
          <t>Who told you that you were naked? : freedom from judgment, guilt, and fear of punishment / John Jacob Raub.</t>
        </is>
      </c>
      <c r="F818" t="inlineStr">
        <is>
          <t>No</t>
        </is>
      </c>
      <c r="G818" t="inlineStr">
        <is>
          <t>1</t>
        </is>
      </c>
      <c r="H818" t="inlineStr">
        <is>
          <t>No</t>
        </is>
      </c>
      <c r="I818" t="inlineStr">
        <is>
          <t>No</t>
        </is>
      </c>
      <c r="J818" t="inlineStr">
        <is>
          <t>0</t>
        </is>
      </c>
      <c r="K818" t="inlineStr">
        <is>
          <t>Raub, John Jacob.</t>
        </is>
      </c>
      <c r="L818" t="inlineStr">
        <is>
          <t>New York : Crossroad, 1992.</t>
        </is>
      </c>
      <c r="M818" t="inlineStr">
        <is>
          <t>1992</t>
        </is>
      </c>
      <c r="O818" t="inlineStr">
        <is>
          <t>eng</t>
        </is>
      </c>
      <c r="P818" t="inlineStr">
        <is>
          <t>nyu</t>
        </is>
      </c>
      <c r="R818" t="inlineStr">
        <is>
          <t xml:space="preserve">BV </t>
        </is>
      </c>
      <c r="S818" t="n">
        <v>3</v>
      </c>
      <c r="T818" t="n">
        <v>3</v>
      </c>
      <c r="U818" t="inlineStr">
        <is>
          <t>2008-08-15</t>
        </is>
      </c>
      <c r="V818" t="inlineStr">
        <is>
          <t>2008-08-15</t>
        </is>
      </c>
      <c r="W818" t="inlineStr">
        <is>
          <t>2003-12-11</t>
        </is>
      </c>
      <c r="X818" t="inlineStr">
        <is>
          <t>2003-12-11</t>
        </is>
      </c>
      <c r="Y818" t="n">
        <v>164</v>
      </c>
      <c r="Z818" t="n">
        <v>154</v>
      </c>
      <c r="AA818" t="n">
        <v>176</v>
      </c>
      <c r="AB818" t="n">
        <v>1</v>
      </c>
      <c r="AC818" t="n">
        <v>1</v>
      </c>
      <c r="AD818" t="n">
        <v>11</v>
      </c>
      <c r="AE818" t="n">
        <v>12</v>
      </c>
      <c r="AF818" t="n">
        <v>4</v>
      </c>
      <c r="AG818" t="n">
        <v>5</v>
      </c>
      <c r="AH818" t="n">
        <v>2</v>
      </c>
      <c r="AI818" t="n">
        <v>2</v>
      </c>
      <c r="AJ818" t="n">
        <v>7</v>
      </c>
      <c r="AK818" t="n">
        <v>7</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HYPERLINK("https://creighton-primo.hosted.exlibrisgroup.com/primo-explore/search?tab=default_tab&amp;search_scope=EVERYTHING&amp;vid=01CRU&amp;lang=en_US&amp;offset=0&amp;query=any,contains,991004203789702656","Catalog Record")</f>
        <v/>
      </c>
      <c r="AT818">
        <f>HYPERLINK("http://www.worldcat.org/oclc/25675927","WorldCat Record")</f>
        <v/>
      </c>
      <c r="AU818" t="inlineStr">
        <is>
          <t>1020766:eng</t>
        </is>
      </c>
      <c r="AV818" t="inlineStr">
        <is>
          <t>25675927</t>
        </is>
      </c>
      <c r="AW818" t="inlineStr">
        <is>
          <t>991004203789702656</t>
        </is>
      </c>
      <c r="AX818" t="inlineStr">
        <is>
          <t>991004203789702656</t>
        </is>
      </c>
      <c r="AY818" t="inlineStr">
        <is>
          <t>2267001040002656</t>
        </is>
      </c>
      <c r="AZ818" t="inlineStr">
        <is>
          <t>BOOK</t>
        </is>
      </c>
      <c r="BB818" t="inlineStr">
        <is>
          <t>9780824512033</t>
        </is>
      </c>
      <c r="BC818" t="inlineStr">
        <is>
          <t>32285004846548</t>
        </is>
      </c>
      <c r="BD818" t="inlineStr">
        <is>
          <t>893325067</t>
        </is>
      </c>
    </row>
    <row r="819">
      <c r="A819" t="inlineStr">
        <is>
          <t>No</t>
        </is>
      </c>
      <c r="B819" t="inlineStr">
        <is>
          <t>BV4909 .I86 1982</t>
        </is>
      </c>
      <c r="C819" t="inlineStr">
        <is>
          <t>0                      BV 4909000I  86          1982</t>
        </is>
      </c>
      <c r="D819" t="inlineStr">
        <is>
          <t>The pain that heals : the place of suffering in the growth of the person / Martin Israel.</t>
        </is>
      </c>
      <c r="F819" t="inlineStr">
        <is>
          <t>No</t>
        </is>
      </c>
      <c r="G819" t="inlineStr">
        <is>
          <t>1</t>
        </is>
      </c>
      <c r="H819" t="inlineStr">
        <is>
          <t>No</t>
        </is>
      </c>
      <c r="I819" t="inlineStr">
        <is>
          <t>No</t>
        </is>
      </c>
      <c r="J819" t="inlineStr">
        <is>
          <t>0</t>
        </is>
      </c>
      <c r="K819" t="inlineStr">
        <is>
          <t>Israel, Martin.</t>
        </is>
      </c>
      <c r="L819" t="inlineStr">
        <is>
          <t>New York : Crossroad, 1982, c1981.</t>
        </is>
      </c>
      <c r="M819" t="inlineStr">
        <is>
          <t>1982</t>
        </is>
      </c>
      <c r="O819" t="inlineStr">
        <is>
          <t>eng</t>
        </is>
      </c>
      <c r="P819" t="inlineStr">
        <is>
          <t>nyu</t>
        </is>
      </c>
      <c r="R819" t="inlineStr">
        <is>
          <t xml:space="preserve">BV </t>
        </is>
      </c>
      <c r="S819" t="n">
        <v>8</v>
      </c>
      <c r="T819" t="n">
        <v>8</v>
      </c>
      <c r="U819" t="inlineStr">
        <is>
          <t>1996-02-19</t>
        </is>
      </c>
      <c r="V819" t="inlineStr">
        <is>
          <t>1996-02-19</t>
        </is>
      </c>
      <c r="W819" t="inlineStr">
        <is>
          <t>1992-03-11</t>
        </is>
      </c>
      <c r="X819" t="inlineStr">
        <is>
          <t>1992-03-11</t>
        </is>
      </c>
      <c r="Y819" t="n">
        <v>143</v>
      </c>
      <c r="Z819" t="n">
        <v>132</v>
      </c>
      <c r="AA819" t="n">
        <v>503</v>
      </c>
      <c r="AB819" t="n">
        <v>1</v>
      </c>
      <c r="AC819" t="n">
        <v>5</v>
      </c>
      <c r="AD819" t="n">
        <v>8</v>
      </c>
      <c r="AE819" t="n">
        <v>25</v>
      </c>
      <c r="AF819" t="n">
        <v>1</v>
      </c>
      <c r="AG819" t="n">
        <v>8</v>
      </c>
      <c r="AH819" t="n">
        <v>3</v>
      </c>
      <c r="AI819" t="n">
        <v>7</v>
      </c>
      <c r="AJ819" t="n">
        <v>6</v>
      </c>
      <c r="AK819" t="n">
        <v>11</v>
      </c>
      <c r="AL819" t="n">
        <v>0</v>
      </c>
      <c r="AM819" t="n">
        <v>4</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HYPERLINK("https://creighton-primo.hosted.exlibrisgroup.com/primo-explore/search?tab=default_tab&amp;search_scope=EVERYTHING&amp;vid=01CRU&amp;lang=en_US&amp;offset=0&amp;query=any,contains,991000019859702656","Catalog Record")</f>
        <v/>
      </c>
      <c r="AT819">
        <f>HYPERLINK("http://www.worldcat.org/oclc/8562605","WorldCat Record")</f>
        <v/>
      </c>
      <c r="AU819" t="inlineStr">
        <is>
          <t>491107:eng</t>
        </is>
      </c>
      <c r="AV819" t="inlineStr">
        <is>
          <t>8562605</t>
        </is>
      </c>
      <c r="AW819" t="inlineStr">
        <is>
          <t>991000019859702656</t>
        </is>
      </c>
      <c r="AX819" t="inlineStr">
        <is>
          <t>991000019859702656</t>
        </is>
      </c>
      <c r="AY819" t="inlineStr">
        <is>
          <t>2259235110002656</t>
        </is>
      </c>
      <c r="AZ819" t="inlineStr">
        <is>
          <t>BOOK</t>
        </is>
      </c>
      <c r="BB819" t="inlineStr">
        <is>
          <t>9780824504373</t>
        </is>
      </c>
      <c r="BC819" t="inlineStr">
        <is>
          <t>32285000969609</t>
        </is>
      </c>
      <c r="BD819" t="inlineStr">
        <is>
          <t>893708017</t>
        </is>
      </c>
    </row>
    <row r="820">
      <c r="A820" t="inlineStr">
        <is>
          <t>No</t>
        </is>
      </c>
      <c r="B820" t="inlineStr">
        <is>
          <t>BV4910 .B68</t>
        </is>
      </c>
      <c r="C820" t="inlineStr">
        <is>
          <t>0                      BV 4910000B  68</t>
        </is>
      </c>
      <c r="D820" t="inlineStr">
        <is>
          <t>The importance of being sick : a Christian reflection / by Leonard Bowman.</t>
        </is>
      </c>
      <c r="F820" t="inlineStr">
        <is>
          <t>No</t>
        </is>
      </c>
      <c r="G820" t="inlineStr">
        <is>
          <t>1</t>
        </is>
      </c>
      <c r="H820" t="inlineStr">
        <is>
          <t>No</t>
        </is>
      </c>
      <c r="I820" t="inlineStr">
        <is>
          <t>No</t>
        </is>
      </c>
      <c r="J820" t="inlineStr">
        <is>
          <t>0</t>
        </is>
      </c>
      <c r="K820" t="inlineStr">
        <is>
          <t>Bowman, Leonard J.</t>
        </is>
      </c>
      <c r="L820" t="inlineStr">
        <is>
          <t>[Wilmington, N.C.] : Consortium, c1976.</t>
        </is>
      </c>
      <c r="M820" t="inlineStr">
        <is>
          <t>1976</t>
        </is>
      </c>
      <c r="O820" t="inlineStr">
        <is>
          <t>eng</t>
        </is>
      </c>
      <c r="P820" t="inlineStr">
        <is>
          <t>ncu</t>
        </is>
      </c>
      <c r="R820" t="inlineStr">
        <is>
          <t xml:space="preserve">BV </t>
        </is>
      </c>
      <c r="S820" t="n">
        <v>3</v>
      </c>
      <c r="T820" t="n">
        <v>3</v>
      </c>
      <c r="U820" t="inlineStr">
        <is>
          <t>1996-02-19</t>
        </is>
      </c>
      <c r="V820" t="inlineStr">
        <is>
          <t>1996-02-19</t>
        </is>
      </c>
      <c r="W820" t="inlineStr">
        <is>
          <t>1992-03-11</t>
        </is>
      </c>
      <c r="X820" t="inlineStr">
        <is>
          <t>1992-03-11</t>
        </is>
      </c>
      <c r="Y820" t="n">
        <v>256</v>
      </c>
      <c r="Z820" t="n">
        <v>232</v>
      </c>
      <c r="AA820" t="n">
        <v>302</v>
      </c>
      <c r="AB820" t="n">
        <v>2</v>
      </c>
      <c r="AC820" t="n">
        <v>5</v>
      </c>
      <c r="AD820" t="n">
        <v>8</v>
      </c>
      <c r="AE820" t="n">
        <v>11</v>
      </c>
      <c r="AF820" t="n">
        <v>2</v>
      </c>
      <c r="AG820" t="n">
        <v>2</v>
      </c>
      <c r="AH820" t="n">
        <v>1</v>
      </c>
      <c r="AI820" t="n">
        <v>2</v>
      </c>
      <c r="AJ820" t="n">
        <v>5</v>
      </c>
      <c r="AK820" t="n">
        <v>6</v>
      </c>
      <c r="AL820" t="n">
        <v>1</v>
      </c>
      <c r="AM820" t="n">
        <v>2</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HYPERLINK("https://creighton-primo.hosted.exlibrisgroup.com/primo-explore/search?tab=default_tab&amp;search_scope=EVERYTHING&amp;vid=01CRU&amp;lang=en_US&amp;offset=0&amp;query=any,contains,991004132339702656","Catalog Record")</f>
        <v/>
      </c>
      <c r="AT820">
        <f>HYPERLINK("http://www.worldcat.org/oclc/2474313","WorldCat Record")</f>
        <v/>
      </c>
      <c r="AU820" t="inlineStr">
        <is>
          <t>5123175:eng</t>
        </is>
      </c>
      <c r="AV820" t="inlineStr">
        <is>
          <t>2474313</t>
        </is>
      </c>
      <c r="AW820" t="inlineStr">
        <is>
          <t>991004132339702656</t>
        </is>
      </c>
      <c r="AX820" t="inlineStr">
        <is>
          <t>991004132339702656</t>
        </is>
      </c>
      <c r="AY820" t="inlineStr">
        <is>
          <t>2259078040002656</t>
        </is>
      </c>
      <c r="AZ820" t="inlineStr">
        <is>
          <t>BOOK</t>
        </is>
      </c>
      <c r="BB820" t="inlineStr">
        <is>
          <t>9780843406047</t>
        </is>
      </c>
      <c r="BC820" t="inlineStr">
        <is>
          <t>32285000969641</t>
        </is>
      </c>
      <c r="BD820" t="inlineStr">
        <is>
          <t>893417267</t>
        </is>
      </c>
    </row>
    <row r="821">
      <c r="A821" t="inlineStr">
        <is>
          <t>No</t>
        </is>
      </c>
      <c r="B821" t="inlineStr">
        <is>
          <t>BV4910.3 .H37 1998</t>
        </is>
      </c>
      <c r="C821" t="inlineStr">
        <is>
          <t>0                      BV 4910300H  37          1998</t>
        </is>
      </c>
      <c r="D821" t="inlineStr">
        <is>
          <t>Loving men : gay partners, spirituality, and AIDS / Richard P. Hardy.</t>
        </is>
      </c>
      <c r="F821" t="inlineStr">
        <is>
          <t>No</t>
        </is>
      </c>
      <c r="G821" t="inlineStr">
        <is>
          <t>1</t>
        </is>
      </c>
      <c r="H821" t="inlineStr">
        <is>
          <t>No</t>
        </is>
      </c>
      <c r="I821" t="inlineStr">
        <is>
          <t>No</t>
        </is>
      </c>
      <c r="J821" t="inlineStr">
        <is>
          <t>0</t>
        </is>
      </c>
      <c r="K821" t="inlineStr">
        <is>
          <t>Hardy, Richard P.</t>
        </is>
      </c>
      <c r="L821" t="inlineStr">
        <is>
          <t>New York : Continuum, 1998.</t>
        </is>
      </c>
      <c r="M821" t="inlineStr">
        <is>
          <t>1998</t>
        </is>
      </c>
      <c r="O821" t="inlineStr">
        <is>
          <t>eng</t>
        </is>
      </c>
      <c r="P821" t="inlineStr">
        <is>
          <t>nyu</t>
        </is>
      </c>
      <c r="R821" t="inlineStr">
        <is>
          <t xml:space="preserve">BV </t>
        </is>
      </c>
      <c r="S821" t="n">
        <v>2</v>
      </c>
      <c r="T821" t="n">
        <v>2</v>
      </c>
      <c r="U821" t="inlineStr">
        <is>
          <t>2002-08-26</t>
        </is>
      </c>
      <c r="V821" t="inlineStr">
        <is>
          <t>2002-08-26</t>
        </is>
      </c>
      <c r="W821" t="inlineStr">
        <is>
          <t>1998-12-16</t>
        </is>
      </c>
      <c r="X821" t="inlineStr">
        <is>
          <t>1998-12-16</t>
        </is>
      </c>
      <c r="Y821" t="n">
        <v>144</v>
      </c>
      <c r="Z821" t="n">
        <v>122</v>
      </c>
      <c r="AA821" t="n">
        <v>123</v>
      </c>
      <c r="AB821" t="n">
        <v>2</v>
      </c>
      <c r="AC821" t="n">
        <v>2</v>
      </c>
      <c r="AD821" t="n">
        <v>8</v>
      </c>
      <c r="AE821" t="n">
        <v>8</v>
      </c>
      <c r="AF821" t="n">
        <v>2</v>
      </c>
      <c r="AG821" t="n">
        <v>2</v>
      </c>
      <c r="AH821" t="n">
        <v>2</v>
      </c>
      <c r="AI821" t="n">
        <v>2</v>
      </c>
      <c r="AJ821" t="n">
        <v>4</v>
      </c>
      <c r="AK821" t="n">
        <v>4</v>
      </c>
      <c r="AL821" t="n">
        <v>1</v>
      </c>
      <c r="AM821" t="n">
        <v>1</v>
      </c>
      <c r="AN821" t="n">
        <v>0</v>
      </c>
      <c r="AO821" t="n">
        <v>0</v>
      </c>
      <c r="AP821" t="inlineStr">
        <is>
          <t>No</t>
        </is>
      </c>
      <c r="AQ821" t="inlineStr">
        <is>
          <t>Yes</t>
        </is>
      </c>
      <c r="AR821">
        <f>HYPERLINK("http://catalog.hathitrust.org/Record/004029471","HathiTrust Record")</f>
        <v/>
      </c>
      <c r="AS821">
        <f>HYPERLINK("https://creighton-primo.hosted.exlibrisgroup.com/primo-explore/search?tab=default_tab&amp;search_scope=EVERYTHING&amp;vid=01CRU&amp;lang=en_US&amp;offset=0&amp;query=any,contains,991002947419702656","Catalog Record")</f>
        <v/>
      </c>
      <c r="AT821">
        <f>HYPERLINK("http://www.worldcat.org/oclc/39261844","WorldCat Record")</f>
        <v/>
      </c>
      <c r="AU821" t="inlineStr">
        <is>
          <t>41693554:eng</t>
        </is>
      </c>
      <c r="AV821" t="inlineStr">
        <is>
          <t>39261844</t>
        </is>
      </c>
      <c r="AW821" t="inlineStr">
        <is>
          <t>991002947419702656</t>
        </is>
      </c>
      <c r="AX821" t="inlineStr">
        <is>
          <t>991002947419702656</t>
        </is>
      </c>
      <c r="AY821" t="inlineStr">
        <is>
          <t>2265709160002656</t>
        </is>
      </c>
      <c r="AZ821" t="inlineStr">
        <is>
          <t>BOOK</t>
        </is>
      </c>
      <c r="BB821" t="inlineStr">
        <is>
          <t>9780826411389</t>
        </is>
      </c>
      <c r="BC821" t="inlineStr">
        <is>
          <t>32285003506952</t>
        </is>
      </c>
      <c r="BD821" t="inlineStr">
        <is>
          <t>893511391</t>
        </is>
      </c>
    </row>
    <row r="822">
      <c r="A822" t="inlineStr">
        <is>
          <t>No</t>
        </is>
      </c>
      <c r="B822" t="inlineStr">
        <is>
          <t>BV4910.9 .H88 1999</t>
        </is>
      </c>
      <c r="C822" t="inlineStr">
        <is>
          <t>0                      BV 4910900H  88          1999</t>
        </is>
      </c>
      <c r="D822" t="inlineStr">
        <is>
          <t>May I walk you home? : courage and comfort for caregivers of the very ill : stories / by Joyce Hutchison ; prayers by Joyce Rupp.</t>
        </is>
      </c>
      <c r="F822" t="inlineStr">
        <is>
          <t>No</t>
        </is>
      </c>
      <c r="G822" t="inlineStr">
        <is>
          <t>1</t>
        </is>
      </c>
      <c r="H822" t="inlineStr">
        <is>
          <t>No</t>
        </is>
      </c>
      <c r="I822" t="inlineStr">
        <is>
          <t>No</t>
        </is>
      </c>
      <c r="J822" t="inlineStr">
        <is>
          <t>0</t>
        </is>
      </c>
      <c r="K822" t="inlineStr">
        <is>
          <t>Hutchison, Joyce.</t>
        </is>
      </c>
      <c r="L822" t="inlineStr">
        <is>
          <t>Notre Dame, Ind. : Ave Maria Press, 1999.</t>
        </is>
      </c>
      <c r="M822" t="inlineStr">
        <is>
          <t>1999</t>
        </is>
      </c>
      <c r="O822" t="inlineStr">
        <is>
          <t>eng</t>
        </is>
      </c>
      <c r="P822" t="inlineStr">
        <is>
          <t>inu</t>
        </is>
      </c>
      <c r="R822" t="inlineStr">
        <is>
          <t xml:space="preserve">BV </t>
        </is>
      </c>
      <c r="S822" t="n">
        <v>4</v>
      </c>
      <c r="T822" t="n">
        <v>4</v>
      </c>
      <c r="U822" t="inlineStr">
        <is>
          <t>2009-09-01</t>
        </is>
      </c>
      <c r="V822" t="inlineStr">
        <is>
          <t>2009-09-01</t>
        </is>
      </c>
      <c r="W822" t="inlineStr">
        <is>
          <t>1999-03-30</t>
        </is>
      </c>
      <c r="X822" t="inlineStr">
        <is>
          <t>1999-03-30</t>
        </is>
      </c>
      <c r="Y822" t="n">
        <v>131</v>
      </c>
      <c r="Z822" t="n">
        <v>113</v>
      </c>
      <c r="AA822" t="n">
        <v>152</v>
      </c>
      <c r="AB822" t="n">
        <v>2</v>
      </c>
      <c r="AC822" t="n">
        <v>2</v>
      </c>
      <c r="AD822" t="n">
        <v>5</v>
      </c>
      <c r="AE822" t="n">
        <v>6</v>
      </c>
      <c r="AF822" t="n">
        <v>0</v>
      </c>
      <c r="AG822" t="n">
        <v>0</v>
      </c>
      <c r="AH822" t="n">
        <v>1</v>
      </c>
      <c r="AI822" t="n">
        <v>2</v>
      </c>
      <c r="AJ822" t="n">
        <v>3</v>
      </c>
      <c r="AK822" t="n">
        <v>4</v>
      </c>
      <c r="AL822" t="n">
        <v>1</v>
      </c>
      <c r="AM822" t="n">
        <v>1</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HYPERLINK("https://creighton-primo.hosted.exlibrisgroup.com/primo-explore/search?tab=default_tab&amp;search_scope=EVERYTHING&amp;vid=01CRU&amp;lang=en_US&amp;offset=0&amp;query=any,contains,991002974749702656","Catalog Record")</f>
        <v/>
      </c>
      <c r="AT822">
        <f>HYPERLINK("http://www.worldcat.org/oclc/39887082","WorldCat Record")</f>
        <v/>
      </c>
      <c r="AU822" t="inlineStr">
        <is>
          <t>4163521038:eng</t>
        </is>
      </c>
      <c r="AV822" t="inlineStr">
        <is>
          <t>39887082</t>
        </is>
      </c>
      <c r="AW822" t="inlineStr">
        <is>
          <t>991002974749702656</t>
        </is>
      </c>
      <c r="AX822" t="inlineStr">
        <is>
          <t>991002974749702656</t>
        </is>
      </c>
      <c r="AY822" t="inlineStr">
        <is>
          <t>2265530580002656</t>
        </is>
      </c>
      <c r="AZ822" t="inlineStr">
        <is>
          <t>BOOK</t>
        </is>
      </c>
      <c r="BB822" t="inlineStr">
        <is>
          <t>9780877936701</t>
        </is>
      </c>
      <c r="BC822" t="inlineStr">
        <is>
          <t>32285003547592</t>
        </is>
      </c>
      <c r="BD822" t="inlineStr">
        <is>
          <t>893257933</t>
        </is>
      </c>
    </row>
    <row r="823">
      <c r="A823" t="inlineStr">
        <is>
          <t>No</t>
        </is>
      </c>
      <c r="B823" t="inlineStr">
        <is>
          <t>BV4916 .B324</t>
        </is>
      </c>
      <c r="C823" t="inlineStr">
        <is>
          <t>0                      BV 4916000B  324</t>
        </is>
      </c>
      <c r="D823" t="inlineStr">
        <is>
          <t>The new birth : a naturalistic view of religious conversion / by Joe Edward Barnhart and Mary Ann Barnhart.</t>
        </is>
      </c>
      <c r="F823" t="inlineStr">
        <is>
          <t>No</t>
        </is>
      </c>
      <c r="G823" t="inlineStr">
        <is>
          <t>1</t>
        </is>
      </c>
      <c r="H823" t="inlineStr">
        <is>
          <t>No</t>
        </is>
      </c>
      <c r="I823" t="inlineStr">
        <is>
          <t>No</t>
        </is>
      </c>
      <c r="J823" t="inlineStr">
        <is>
          <t>0</t>
        </is>
      </c>
      <c r="K823" t="inlineStr">
        <is>
          <t>Barnhart, Joe E., 1931-</t>
        </is>
      </c>
      <c r="L823" t="inlineStr">
        <is>
          <t>Macon, Ga. : Mercer University Press, c1981.</t>
        </is>
      </c>
      <c r="M823" t="inlineStr">
        <is>
          <t>1981</t>
        </is>
      </c>
      <c r="O823" t="inlineStr">
        <is>
          <t>eng</t>
        </is>
      </c>
      <c r="P823" t="inlineStr">
        <is>
          <t>gau</t>
        </is>
      </c>
      <c r="R823" t="inlineStr">
        <is>
          <t xml:space="preserve">BV </t>
        </is>
      </c>
      <c r="S823" t="n">
        <v>0</v>
      </c>
      <c r="T823" t="n">
        <v>0</v>
      </c>
      <c r="U823" t="inlineStr">
        <is>
          <t>2005-07-08</t>
        </is>
      </c>
      <c r="V823" t="inlineStr">
        <is>
          <t>2005-07-08</t>
        </is>
      </c>
      <c r="W823" t="inlineStr">
        <is>
          <t>1997-09-26</t>
        </is>
      </c>
      <c r="X823" t="inlineStr">
        <is>
          <t>1997-09-26</t>
        </is>
      </c>
      <c r="Y823" t="n">
        <v>237</v>
      </c>
      <c r="Z823" t="n">
        <v>206</v>
      </c>
      <c r="AA823" t="n">
        <v>206</v>
      </c>
      <c r="AB823" t="n">
        <v>1</v>
      </c>
      <c r="AC823" t="n">
        <v>1</v>
      </c>
      <c r="AD823" t="n">
        <v>8</v>
      </c>
      <c r="AE823" t="n">
        <v>8</v>
      </c>
      <c r="AF823" t="n">
        <v>3</v>
      </c>
      <c r="AG823" t="n">
        <v>3</v>
      </c>
      <c r="AH823" t="n">
        <v>2</v>
      </c>
      <c r="AI823" t="n">
        <v>2</v>
      </c>
      <c r="AJ823" t="n">
        <v>3</v>
      </c>
      <c r="AK823" t="n">
        <v>3</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HYPERLINK("https://creighton-primo.hosted.exlibrisgroup.com/primo-explore/search?tab=default_tab&amp;search_scope=EVERYTHING&amp;vid=01CRU&amp;lang=en_US&amp;offset=0&amp;query=any,contains,991005155119702656","Catalog Record")</f>
        <v/>
      </c>
      <c r="AT823">
        <f>HYPERLINK("http://www.worldcat.org/oclc/7738454","WorldCat Record")</f>
        <v/>
      </c>
      <c r="AU823" t="inlineStr">
        <is>
          <t>54455886:eng</t>
        </is>
      </c>
      <c r="AV823" t="inlineStr">
        <is>
          <t>7738454</t>
        </is>
      </c>
      <c r="AW823" t="inlineStr">
        <is>
          <t>991005155119702656</t>
        </is>
      </c>
      <c r="AX823" t="inlineStr">
        <is>
          <t>991005155119702656</t>
        </is>
      </c>
      <c r="AY823" t="inlineStr">
        <is>
          <t>2258050420002656</t>
        </is>
      </c>
      <c r="AZ823" t="inlineStr">
        <is>
          <t>BOOK</t>
        </is>
      </c>
      <c r="BB823" t="inlineStr">
        <is>
          <t>9780865540095</t>
        </is>
      </c>
      <c r="BC823" t="inlineStr">
        <is>
          <t>32285000969666</t>
        </is>
      </c>
      <c r="BD823" t="inlineStr">
        <is>
          <t>893430956</t>
        </is>
      </c>
    </row>
    <row r="824">
      <c r="A824" t="inlineStr">
        <is>
          <t>No</t>
        </is>
      </c>
      <c r="B824" t="inlineStr">
        <is>
          <t>BV4916 .B326 1990</t>
        </is>
      </c>
      <c r="C824" t="inlineStr">
        <is>
          <t>0                      BV 4916000B  326         1990</t>
        </is>
      </c>
      <c r="D824" t="inlineStr">
        <is>
          <t>Now choose life : conversion as the way to life / William A. Barry.</t>
        </is>
      </c>
      <c r="F824" t="inlineStr">
        <is>
          <t>No</t>
        </is>
      </c>
      <c r="G824" t="inlineStr">
        <is>
          <t>1</t>
        </is>
      </c>
      <c r="H824" t="inlineStr">
        <is>
          <t>No</t>
        </is>
      </c>
      <c r="I824" t="inlineStr">
        <is>
          <t>No</t>
        </is>
      </c>
      <c r="J824" t="inlineStr">
        <is>
          <t>0</t>
        </is>
      </c>
      <c r="K824" t="inlineStr">
        <is>
          <t>Barry, William A.</t>
        </is>
      </c>
      <c r="L824" t="inlineStr">
        <is>
          <t>New York : Paulist Press, c1990.</t>
        </is>
      </c>
      <c r="M824" t="inlineStr">
        <is>
          <t>1990</t>
        </is>
      </c>
      <c r="O824" t="inlineStr">
        <is>
          <t>eng</t>
        </is>
      </c>
      <c r="P824" t="inlineStr">
        <is>
          <t>nyu</t>
        </is>
      </c>
      <c r="R824" t="inlineStr">
        <is>
          <t xml:space="preserve">BV </t>
        </is>
      </c>
      <c r="S824" t="n">
        <v>9</v>
      </c>
      <c r="T824" t="n">
        <v>9</v>
      </c>
      <c r="U824" t="inlineStr">
        <is>
          <t>2007-11-29</t>
        </is>
      </c>
      <c r="V824" t="inlineStr">
        <is>
          <t>2007-11-29</t>
        </is>
      </c>
      <c r="W824" t="inlineStr">
        <is>
          <t>1991-09-27</t>
        </is>
      </c>
      <c r="X824" t="inlineStr">
        <is>
          <t>1991-09-27</t>
        </is>
      </c>
      <c r="Y824" t="n">
        <v>125</v>
      </c>
      <c r="Z824" t="n">
        <v>107</v>
      </c>
      <c r="AA824" t="n">
        <v>107</v>
      </c>
      <c r="AB824" t="n">
        <v>3</v>
      </c>
      <c r="AC824" t="n">
        <v>3</v>
      </c>
      <c r="AD824" t="n">
        <v>13</v>
      </c>
      <c r="AE824" t="n">
        <v>13</v>
      </c>
      <c r="AF824" t="n">
        <v>2</v>
      </c>
      <c r="AG824" t="n">
        <v>2</v>
      </c>
      <c r="AH824" t="n">
        <v>1</v>
      </c>
      <c r="AI824" t="n">
        <v>1</v>
      </c>
      <c r="AJ824" t="n">
        <v>10</v>
      </c>
      <c r="AK824" t="n">
        <v>10</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HYPERLINK("https://creighton-primo.hosted.exlibrisgroup.com/primo-explore/search?tab=default_tab&amp;search_scope=EVERYTHING&amp;vid=01CRU&amp;lang=en_US&amp;offset=0&amp;query=any,contains,991001797739702656","Catalog Record")</f>
        <v/>
      </c>
      <c r="AT824">
        <f>HYPERLINK("http://www.worldcat.org/oclc/22624441","WorldCat Record")</f>
        <v/>
      </c>
      <c r="AU824" t="inlineStr">
        <is>
          <t>24278692:eng</t>
        </is>
      </c>
      <c r="AV824" t="inlineStr">
        <is>
          <t>22624441</t>
        </is>
      </c>
      <c r="AW824" t="inlineStr">
        <is>
          <t>991001797739702656</t>
        </is>
      </c>
      <c r="AX824" t="inlineStr">
        <is>
          <t>991001797739702656</t>
        </is>
      </c>
      <c r="AY824" t="inlineStr">
        <is>
          <t>2271563100002656</t>
        </is>
      </c>
      <c r="AZ824" t="inlineStr">
        <is>
          <t>BOOK</t>
        </is>
      </c>
      <c r="BB824" t="inlineStr">
        <is>
          <t>9780809132300</t>
        </is>
      </c>
      <c r="BC824" t="inlineStr">
        <is>
          <t>32285000725340</t>
        </is>
      </c>
      <c r="BD824" t="inlineStr">
        <is>
          <t>893444808</t>
        </is>
      </c>
    </row>
    <row r="825">
      <c r="A825" t="inlineStr">
        <is>
          <t>No</t>
        </is>
      </c>
      <c r="B825" t="inlineStr">
        <is>
          <t>BV4916 .B33</t>
        </is>
      </c>
      <c r="C825" t="inlineStr">
        <is>
          <t>0                      BV 4916000B  33</t>
        </is>
      </c>
      <c r="D825" t="inlineStr">
        <is>
          <t>Commitment without ideology : the experience of Christian growth / by C. Daniel Batson, J. Christiaan Beker [and] W. Malcolm Clark.</t>
        </is>
      </c>
      <c r="F825" t="inlineStr">
        <is>
          <t>No</t>
        </is>
      </c>
      <c r="G825" t="inlineStr">
        <is>
          <t>1</t>
        </is>
      </c>
      <c r="H825" t="inlineStr">
        <is>
          <t>No</t>
        </is>
      </c>
      <c r="I825" t="inlineStr">
        <is>
          <t>No</t>
        </is>
      </c>
      <c r="J825" t="inlineStr">
        <is>
          <t>0</t>
        </is>
      </c>
      <c r="K825" t="inlineStr">
        <is>
          <t>Batson, C. Daniel (Charles Daniel), 1943-</t>
        </is>
      </c>
      <c r="L825" t="inlineStr">
        <is>
          <t>Philadelphia United Church Press [1973]</t>
        </is>
      </c>
      <c r="M825" t="inlineStr">
        <is>
          <t>1973</t>
        </is>
      </c>
      <c r="O825" t="inlineStr">
        <is>
          <t>eng</t>
        </is>
      </c>
      <c r="P825" t="inlineStr">
        <is>
          <t>pau</t>
        </is>
      </c>
      <c r="R825" t="inlineStr">
        <is>
          <t xml:space="preserve">BV </t>
        </is>
      </c>
      <c r="S825" t="n">
        <v>2</v>
      </c>
      <c r="T825" t="n">
        <v>2</v>
      </c>
      <c r="U825" t="inlineStr">
        <is>
          <t>1997-11-25</t>
        </is>
      </c>
      <c r="V825" t="inlineStr">
        <is>
          <t>1997-11-25</t>
        </is>
      </c>
      <c r="W825" t="inlineStr">
        <is>
          <t>1992-06-09</t>
        </is>
      </c>
      <c r="X825" t="inlineStr">
        <is>
          <t>1992-06-09</t>
        </is>
      </c>
      <c r="Y825" t="n">
        <v>214</v>
      </c>
      <c r="Z825" t="n">
        <v>185</v>
      </c>
      <c r="AA825" t="n">
        <v>188</v>
      </c>
      <c r="AB825" t="n">
        <v>1</v>
      </c>
      <c r="AC825" t="n">
        <v>1</v>
      </c>
      <c r="AD825" t="n">
        <v>6</v>
      </c>
      <c r="AE825" t="n">
        <v>6</v>
      </c>
      <c r="AF825" t="n">
        <v>2</v>
      </c>
      <c r="AG825" t="n">
        <v>2</v>
      </c>
      <c r="AH825" t="n">
        <v>2</v>
      </c>
      <c r="AI825" t="n">
        <v>2</v>
      </c>
      <c r="AJ825" t="n">
        <v>2</v>
      </c>
      <c r="AK825" t="n">
        <v>2</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HYPERLINK("https://creighton-primo.hosted.exlibrisgroup.com/primo-explore/search?tab=default_tab&amp;search_scope=EVERYTHING&amp;vid=01CRU&amp;lang=en_US&amp;offset=0&amp;query=any,contains,991002916449702656","Catalog Record")</f>
        <v/>
      </c>
      <c r="AT825">
        <f>HYPERLINK("http://www.worldcat.org/oclc/524204","WorldCat Record")</f>
        <v/>
      </c>
      <c r="AU825" t="inlineStr">
        <is>
          <t>836717739:eng</t>
        </is>
      </c>
      <c r="AV825" t="inlineStr">
        <is>
          <t>524204</t>
        </is>
      </c>
      <c r="AW825" t="inlineStr">
        <is>
          <t>991002916449702656</t>
        </is>
      </c>
      <c r="AX825" t="inlineStr">
        <is>
          <t>991002916449702656</t>
        </is>
      </c>
      <c r="AY825" t="inlineStr">
        <is>
          <t>2261304140002656</t>
        </is>
      </c>
      <c r="AZ825" t="inlineStr">
        <is>
          <t>BOOK</t>
        </is>
      </c>
      <c r="BB825" t="inlineStr">
        <is>
          <t>9780829802450</t>
        </is>
      </c>
      <c r="BC825" t="inlineStr">
        <is>
          <t>32285001074573</t>
        </is>
      </c>
      <c r="BD825" t="inlineStr">
        <is>
          <t>893257880</t>
        </is>
      </c>
    </row>
    <row r="826">
      <c r="A826" t="inlineStr">
        <is>
          <t>No</t>
        </is>
      </c>
      <c r="B826" t="inlineStr">
        <is>
          <t>BV4916 .C64 1986</t>
        </is>
      </c>
      <c r="C826" t="inlineStr">
        <is>
          <t>0                      BV 4916000C  64          1986</t>
        </is>
      </c>
      <c r="D826" t="inlineStr">
        <is>
          <t>Christian conversion : a developmental interpretation of autonomy and surrender / Walter Conn.</t>
        </is>
      </c>
      <c r="F826" t="inlineStr">
        <is>
          <t>No</t>
        </is>
      </c>
      <c r="G826" t="inlineStr">
        <is>
          <t>1</t>
        </is>
      </c>
      <c r="H826" t="inlineStr">
        <is>
          <t>No</t>
        </is>
      </c>
      <c r="I826" t="inlineStr">
        <is>
          <t>No</t>
        </is>
      </c>
      <c r="J826" t="inlineStr">
        <is>
          <t>0</t>
        </is>
      </c>
      <c r="K826" t="inlineStr">
        <is>
          <t>Conn, Walter E.</t>
        </is>
      </c>
      <c r="L826" t="inlineStr">
        <is>
          <t>New York : Paulist Press, c1986.</t>
        </is>
      </c>
      <c r="M826" t="inlineStr">
        <is>
          <t>1986</t>
        </is>
      </c>
      <c r="O826" t="inlineStr">
        <is>
          <t>eng</t>
        </is>
      </c>
      <c r="P826" t="inlineStr">
        <is>
          <t>nyu</t>
        </is>
      </c>
      <c r="R826" t="inlineStr">
        <is>
          <t xml:space="preserve">BV </t>
        </is>
      </c>
      <c r="S826" t="n">
        <v>8</v>
      </c>
      <c r="T826" t="n">
        <v>8</v>
      </c>
      <c r="U826" t="inlineStr">
        <is>
          <t>2009-11-04</t>
        </is>
      </c>
      <c r="V826" t="inlineStr">
        <is>
          <t>2009-11-04</t>
        </is>
      </c>
      <c r="W826" t="inlineStr">
        <is>
          <t>1992-03-11</t>
        </is>
      </c>
      <c r="X826" t="inlineStr">
        <is>
          <t>1992-03-11</t>
        </is>
      </c>
      <c r="Y826" t="n">
        <v>411</v>
      </c>
      <c r="Z826" t="n">
        <v>351</v>
      </c>
      <c r="AA826" t="n">
        <v>362</v>
      </c>
      <c r="AB826" t="n">
        <v>3</v>
      </c>
      <c r="AC826" t="n">
        <v>3</v>
      </c>
      <c r="AD826" t="n">
        <v>33</v>
      </c>
      <c r="AE826" t="n">
        <v>33</v>
      </c>
      <c r="AF826" t="n">
        <v>13</v>
      </c>
      <c r="AG826" t="n">
        <v>13</v>
      </c>
      <c r="AH826" t="n">
        <v>7</v>
      </c>
      <c r="AI826" t="n">
        <v>7</v>
      </c>
      <c r="AJ826" t="n">
        <v>21</v>
      </c>
      <c r="AK826" t="n">
        <v>21</v>
      </c>
      <c r="AL826" t="n">
        <v>2</v>
      </c>
      <c r="AM826" t="n">
        <v>2</v>
      </c>
      <c r="AN826" t="n">
        <v>0</v>
      </c>
      <c r="AO826" t="n">
        <v>0</v>
      </c>
      <c r="AP826" t="inlineStr">
        <is>
          <t>No</t>
        </is>
      </c>
      <c r="AQ826" t="inlineStr">
        <is>
          <t>Yes</t>
        </is>
      </c>
      <c r="AR826">
        <f>HYPERLINK("http://catalog.hathitrust.org/Record/000443006","HathiTrust Record")</f>
        <v/>
      </c>
      <c r="AS826">
        <f>HYPERLINK("https://creighton-primo.hosted.exlibrisgroup.com/primo-explore/search?tab=default_tab&amp;search_scope=EVERYTHING&amp;vid=01CRU&amp;lang=en_US&amp;offset=0&amp;query=any,contains,991000904019702656","Catalog Record")</f>
        <v/>
      </c>
      <c r="AT826">
        <f>HYPERLINK("http://www.worldcat.org/oclc/14072106","WorldCat Record")</f>
        <v/>
      </c>
      <c r="AU826" t="inlineStr">
        <is>
          <t>206815473:eng</t>
        </is>
      </c>
      <c r="AV826" t="inlineStr">
        <is>
          <t>14072106</t>
        </is>
      </c>
      <c r="AW826" t="inlineStr">
        <is>
          <t>991000904019702656</t>
        </is>
      </c>
      <c r="AX826" t="inlineStr">
        <is>
          <t>991000904019702656</t>
        </is>
      </c>
      <c r="AY826" t="inlineStr">
        <is>
          <t>2259739960002656</t>
        </is>
      </c>
      <c r="AZ826" t="inlineStr">
        <is>
          <t>BOOK</t>
        </is>
      </c>
      <c r="BB826" t="inlineStr">
        <is>
          <t>9780809127832</t>
        </is>
      </c>
      <c r="BC826" t="inlineStr">
        <is>
          <t>32285000969682</t>
        </is>
      </c>
      <c r="BD826" t="inlineStr">
        <is>
          <t>893897325</t>
        </is>
      </c>
    </row>
    <row r="827">
      <c r="A827" t="inlineStr">
        <is>
          <t>No</t>
        </is>
      </c>
      <c r="B827" t="inlineStr">
        <is>
          <t>BV4916 .C65 1984</t>
        </is>
      </c>
      <c r="C827" t="inlineStr">
        <is>
          <t>0                      BV 4916000C  65          1984</t>
        </is>
      </c>
      <c r="D827" t="inlineStr">
        <is>
          <t>Conversion and the catechumenate / edited by Robert D. Duggan.</t>
        </is>
      </c>
      <c r="F827" t="inlineStr">
        <is>
          <t>No</t>
        </is>
      </c>
      <c r="G827" t="inlineStr">
        <is>
          <t>1</t>
        </is>
      </c>
      <c r="H827" t="inlineStr">
        <is>
          <t>No</t>
        </is>
      </c>
      <c r="I827" t="inlineStr">
        <is>
          <t>No</t>
        </is>
      </c>
      <c r="J827" t="inlineStr">
        <is>
          <t>0</t>
        </is>
      </c>
      <c r="L827" t="inlineStr">
        <is>
          <t>New York : Paulist Press, c1984.</t>
        </is>
      </c>
      <c r="M827" t="inlineStr">
        <is>
          <t>1984</t>
        </is>
      </c>
      <c r="O827" t="inlineStr">
        <is>
          <t>eng</t>
        </is>
      </c>
      <c r="P827" t="inlineStr">
        <is>
          <t>nyu</t>
        </is>
      </c>
      <c r="R827" t="inlineStr">
        <is>
          <t xml:space="preserve">BV </t>
        </is>
      </c>
      <c r="S827" t="n">
        <v>1</v>
      </c>
      <c r="T827" t="n">
        <v>1</v>
      </c>
      <c r="U827" t="inlineStr">
        <is>
          <t>2007-03-30</t>
        </is>
      </c>
      <c r="V827" t="inlineStr">
        <is>
          <t>2007-03-30</t>
        </is>
      </c>
      <c r="W827" t="inlineStr">
        <is>
          <t>1991-07-11</t>
        </is>
      </c>
      <c r="X827" t="inlineStr">
        <is>
          <t>1991-07-11</t>
        </is>
      </c>
      <c r="Y827" t="n">
        <v>196</v>
      </c>
      <c r="Z827" t="n">
        <v>163</v>
      </c>
      <c r="AA827" t="n">
        <v>163</v>
      </c>
      <c r="AB827" t="n">
        <v>1</v>
      </c>
      <c r="AC827" t="n">
        <v>1</v>
      </c>
      <c r="AD827" t="n">
        <v>18</v>
      </c>
      <c r="AE827" t="n">
        <v>18</v>
      </c>
      <c r="AF827" t="n">
        <v>6</v>
      </c>
      <c r="AG827" t="n">
        <v>6</v>
      </c>
      <c r="AH827" t="n">
        <v>3</v>
      </c>
      <c r="AI827" t="n">
        <v>3</v>
      </c>
      <c r="AJ827" t="n">
        <v>13</v>
      </c>
      <c r="AK827" t="n">
        <v>13</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HYPERLINK("https://creighton-primo.hosted.exlibrisgroup.com/primo-explore/search?tab=default_tab&amp;search_scope=EVERYTHING&amp;vid=01CRU&amp;lang=en_US&amp;offset=0&amp;query=any,contains,991000515429702656","Catalog Record")</f>
        <v/>
      </c>
      <c r="AT827">
        <f>HYPERLINK("http://www.worldcat.org/oclc/11287334","WorldCat Record")</f>
        <v/>
      </c>
      <c r="AU827" t="inlineStr">
        <is>
          <t>4056866:eng</t>
        </is>
      </c>
      <c r="AV827" t="inlineStr">
        <is>
          <t>11287334</t>
        </is>
      </c>
      <c r="AW827" t="inlineStr">
        <is>
          <t>991000515429702656</t>
        </is>
      </c>
      <c r="AX827" t="inlineStr">
        <is>
          <t>991000515429702656</t>
        </is>
      </c>
      <c r="AY827" t="inlineStr">
        <is>
          <t>2271154170002656</t>
        </is>
      </c>
      <c r="AZ827" t="inlineStr">
        <is>
          <t>BOOK</t>
        </is>
      </c>
      <c r="BB827" t="inlineStr">
        <is>
          <t>9780809126149</t>
        </is>
      </c>
      <c r="BC827" t="inlineStr">
        <is>
          <t>32285000637115</t>
        </is>
      </c>
      <c r="BD827" t="inlineStr">
        <is>
          <t>893432031</t>
        </is>
      </c>
    </row>
    <row r="828">
      <c r="A828" t="inlineStr">
        <is>
          <t>No</t>
        </is>
      </c>
      <c r="B828" t="inlineStr">
        <is>
          <t>BV4916 .C68 1996</t>
        </is>
      </c>
      <c r="C828" t="inlineStr">
        <is>
          <t>0                      BV 4916000C  68          1996</t>
        </is>
      </c>
      <c r="D828" t="inlineStr">
        <is>
          <t>Conversion to modernities : the globalization of Christianity / edited by Peter van der Veer.</t>
        </is>
      </c>
      <c r="F828" t="inlineStr">
        <is>
          <t>No</t>
        </is>
      </c>
      <c r="G828" t="inlineStr">
        <is>
          <t>1</t>
        </is>
      </c>
      <c r="H828" t="inlineStr">
        <is>
          <t>No</t>
        </is>
      </c>
      <c r="I828" t="inlineStr">
        <is>
          <t>No</t>
        </is>
      </c>
      <c r="J828" t="inlineStr">
        <is>
          <t>0</t>
        </is>
      </c>
      <c r="L828" t="inlineStr">
        <is>
          <t>New York : Routledge, 1996.</t>
        </is>
      </c>
      <c r="M828" t="inlineStr">
        <is>
          <t>1996</t>
        </is>
      </c>
      <c r="O828" t="inlineStr">
        <is>
          <t>eng</t>
        </is>
      </c>
      <c r="P828" t="inlineStr">
        <is>
          <t>nyu</t>
        </is>
      </c>
      <c r="Q828" t="inlineStr">
        <is>
          <t>Zones of religion</t>
        </is>
      </c>
      <c r="R828" t="inlineStr">
        <is>
          <t xml:space="preserve">BV </t>
        </is>
      </c>
      <c r="S828" t="n">
        <v>1</v>
      </c>
      <c r="T828" t="n">
        <v>1</v>
      </c>
      <c r="U828" t="inlineStr">
        <is>
          <t>2005-11-08</t>
        </is>
      </c>
      <c r="V828" t="inlineStr">
        <is>
          <t>2005-11-08</t>
        </is>
      </c>
      <c r="W828" t="inlineStr">
        <is>
          <t>1996-04-16</t>
        </is>
      </c>
      <c r="X828" t="inlineStr">
        <is>
          <t>1996-04-16</t>
        </is>
      </c>
      <c r="Y828" t="n">
        <v>239</v>
      </c>
      <c r="Z828" t="n">
        <v>149</v>
      </c>
      <c r="AA828" t="n">
        <v>176</v>
      </c>
      <c r="AB828" t="n">
        <v>1</v>
      </c>
      <c r="AC828" t="n">
        <v>1</v>
      </c>
      <c r="AD828" t="n">
        <v>11</v>
      </c>
      <c r="AE828" t="n">
        <v>11</v>
      </c>
      <c r="AF828" t="n">
        <v>3</v>
      </c>
      <c r="AG828" t="n">
        <v>3</v>
      </c>
      <c r="AH828" t="n">
        <v>4</v>
      </c>
      <c r="AI828" t="n">
        <v>4</v>
      </c>
      <c r="AJ828" t="n">
        <v>7</v>
      </c>
      <c r="AK828" t="n">
        <v>7</v>
      </c>
      <c r="AL828" t="n">
        <v>0</v>
      </c>
      <c r="AM828" t="n">
        <v>0</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HYPERLINK("https://creighton-primo.hosted.exlibrisgroup.com/primo-explore/search?tab=default_tab&amp;search_scope=EVERYTHING&amp;vid=01CRU&amp;lang=en_US&amp;offset=0&amp;query=any,contains,991002490599702656","Catalog Record")</f>
        <v/>
      </c>
      <c r="AT828">
        <f>HYPERLINK("http://www.worldcat.org/oclc/32396794","WorldCat Record")</f>
        <v/>
      </c>
      <c r="AU828" t="inlineStr">
        <is>
          <t>318980696:eng</t>
        </is>
      </c>
      <c r="AV828" t="inlineStr">
        <is>
          <t>32396794</t>
        </is>
      </c>
      <c r="AW828" t="inlineStr">
        <is>
          <t>991002490599702656</t>
        </is>
      </c>
      <c r="AX828" t="inlineStr">
        <is>
          <t>991002490599702656</t>
        </is>
      </c>
      <c r="AY828" t="inlineStr">
        <is>
          <t>2256515670002656</t>
        </is>
      </c>
      <c r="AZ828" t="inlineStr">
        <is>
          <t>BOOK</t>
        </is>
      </c>
      <c r="BB828" t="inlineStr">
        <is>
          <t>9780415912730</t>
        </is>
      </c>
      <c r="BC828" t="inlineStr">
        <is>
          <t>32285002153244</t>
        </is>
      </c>
      <c r="BD828" t="inlineStr">
        <is>
          <t>893316880</t>
        </is>
      </c>
    </row>
    <row r="829">
      <c r="A829" t="inlineStr">
        <is>
          <t>No</t>
        </is>
      </c>
      <c r="B829" t="inlineStr">
        <is>
          <t>BV4916 .K46 1992</t>
        </is>
      </c>
      <c r="C829" t="inlineStr">
        <is>
          <t>0                      BV 4916000K  46          1992</t>
        </is>
      </c>
      <c r="D829" t="inlineStr">
        <is>
          <t>Lonergan on conversion : applications for religious formation / Mary Kay Kinberger.</t>
        </is>
      </c>
      <c r="F829" t="inlineStr">
        <is>
          <t>No</t>
        </is>
      </c>
      <c r="G829" t="inlineStr">
        <is>
          <t>1</t>
        </is>
      </c>
      <c r="H829" t="inlineStr">
        <is>
          <t>No</t>
        </is>
      </c>
      <c r="I829" t="inlineStr">
        <is>
          <t>No</t>
        </is>
      </c>
      <c r="J829" t="inlineStr">
        <is>
          <t>0</t>
        </is>
      </c>
      <c r="K829" t="inlineStr">
        <is>
          <t>Kinberger, Mary Kay.</t>
        </is>
      </c>
      <c r="L829" t="inlineStr">
        <is>
          <t>New York : P. Lang, c1992.</t>
        </is>
      </c>
      <c r="M829" t="inlineStr">
        <is>
          <t>1992</t>
        </is>
      </c>
      <c r="O829" t="inlineStr">
        <is>
          <t>eng</t>
        </is>
      </c>
      <c r="P829" t="inlineStr">
        <is>
          <t>nyu</t>
        </is>
      </c>
      <c r="Q829" t="inlineStr">
        <is>
          <t>American university studies. Series VII, Theology and religion, 0740-0446 ; vol. 124</t>
        </is>
      </c>
      <c r="R829" t="inlineStr">
        <is>
          <t xml:space="preserve">BV </t>
        </is>
      </c>
      <c r="S829" t="n">
        <v>7</v>
      </c>
      <c r="T829" t="n">
        <v>7</v>
      </c>
      <c r="U829" t="inlineStr">
        <is>
          <t>2002-10-03</t>
        </is>
      </c>
      <c r="V829" t="inlineStr">
        <is>
          <t>2002-10-03</t>
        </is>
      </c>
      <c r="W829" t="inlineStr">
        <is>
          <t>1996-04-04</t>
        </is>
      </c>
      <c r="X829" t="inlineStr">
        <is>
          <t>1996-04-04</t>
        </is>
      </c>
      <c r="Y829" t="n">
        <v>78</v>
      </c>
      <c r="Z829" t="n">
        <v>56</v>
      </c>
      <c r="AA829" t="n">
        <v>56</v>
      </c>
      <c r="AB829" t="n">
        <v>1</v>
      </c>
      <c r="AC829" t="n">
        <v>1</v>
      </c>
      <c r="AD829" t="n">
        <v>6</v>
      </c>
      <c r="AE829" t="n">
        <v>6</v>
      </c>
      <c r="AF829" t="n">
        <v>1</v>
      </c>
      <c r="AG829" t="n">
        <v>1</v>
      </c>
      <c r="AH829" t="n">
        <v>3</v>
      </c>
      <c r="AI829" t="n">
        <v>3</v>
      </c>
      <c r="AJ829" t="n">
        <v>4</v>
      </c>
      <c r="AK829" t="n">
        <v>4</v>
      </c>
      <c r="AL829" t="n">
        <v>0</v>
      </c>
      <c r="AM829" t="n">
        <v>0</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HYPERLINK("https://creighton-primo.hosted.exlibrisgroup.com/primo-explore/search?tab=default_tab&amp;search_scope=EVERYTHING&amp;vid=01CRU&amp;lang=en_US&amp;offset=0&amp;query=any,contains,991001924959702656","Catalog Record")</f>
        <v/>
      </c>
      <c r="AT829">
        <f>HYPERLINK("http://www.worldcat.org/oclc/24318344","WorldCat Record")</f>
        <v/>
      </c>
      <c r="AU829" t="inlineStr">
        <is>
          <t>897771755:eng</t>
        </is>
      </c>
      <c r="AV829" t="inlineStr">
        <is>
          <t>24318344</t>
        </is>
      </c>
      <c r="AW829" t="inlineStr">
        <is>
          <t>991001924959702656</t>
        </is>
      </c>
      <c r="AX829" t="inlineStr">
        <is>
          <t>991001924959702656</t>
        </is>
      </c>
      <c r="AY829" t="inlineStr">
        <is>
          <t>2272631180002656</t>
        </is>
      </c>
      <c r="AZ829" t="inlineStr">
        <is>
          <t>BOOK</t>
        </is>
      </c>
      <c r="BB829" t="inlineStr">
        <is>
          <t>9780820417431</t>
        </is>
      </c>
      <c r="BC829" t="inlineStr">
        <is>
          <t>32285002150539</t>
        </is>
      </c>
      <c r="BD829" t="inlineStr">
        <is>
          <t>893322364</t>
        </is>
      </c>
    </row>
    <row r="830">
      <c r="A830" t="inlineStr">
        <is>
          <t>No</t>
        </is>
      </c>
      <c r="B830" t="inlineStr">
        <is>
          <t>BV4916.3 .C655 2003</t>
        </is>
      </c>
      <c r="C830" t="inlineStr">
        <is>
          <t>0                      BV 4916300C  655         2003</t>
        </is>
      </c>
      <c r="D830" t="inlineStr">
        <is>
          <t>Conversion in late antiquity and the early Middle Ages : seeing and believing / edited by Kenneth Mills and Anthony Grafton.</t>
        </is>
      </c>
      <c r="F830" t="inlineStr">
        <is>
          <t>No</t>
        </is>
      </c>
      <c r="G830" t="inlineStr">
        <is>
          <t>1</t>
        </is>
      </c>
      <c r="H830" t="inlineStr">
        <is>
          <t>No</t>
        </is>
      </c>
      <c r="I830" t="inlineStr">
        <is>
          <t>No</t>
        </is>
      </c>
      <c r="J830" t="inlineStr">
        <is>
          <t>0</t>
        </is>
      </c>
      <c r="L830" t="inlineStr">
        <is>
          <t>Rochester, N.Y. : University of Rochester Press ; Suffolk, UK : Boydell &amp; Brewer, 2003.</t>
        </is>
      </c>
      <c r="M830" t="inlineStr">
        <is>
          <t>2003</t>
        </is>
      </c>
      <c r="O830" t="inlineStr">
        <is>
          <t>eng</t>
        </is>
      </c>
      <c r="P830" t="inlineStr">
        <is>
          <t>nyu</t>
        </is>
      </c>
      <c r="Q830" t="inlineStr">
        <is>
          <t>Studies in comparative history, 1539-4905</t>
        </is>
      </c>
      <c r="R830" t="inlineStr">
        <is>
          <t xml:space="preserve">BV </t>
        </is>
      </c>
      <c r="S830" t="n">
        <v>6</v>
      </c>
      <c r="T830" t="n">
        <v>6</v>
      </c>
      <c r="U830" t="inlineStr">
        <is>
          <t>2009-11-19</t>
        </is>
      </c>
      <c r="V830" t="inlineStr">
        <is>
          <t>2009-11-19</t>
        </is>
      </c>
      <c r="W830" t="inlineStr">
        <is>
          <t>2004-01-21</t>
        </is>
      </c>
      <c r="X830" t="inlineStr">
        <is>
          <t>2004-01-21</t>
        </is>
      </c>
      <c r="Y830" t="n">
        <v>257</v>
      </c>
      <c r="Z830" t="n">
        <v>185</v>
      </c>
      <c r="AA830" t="n">
        <v>185</v>
      </c>
      <c r="AB830" t="n">
        <v>1</v>
      </c>
      <c r="AC830" t="n">
        <v>1</v>
      </c>
      <c r="AD830" t="n">
        <v>14</v>
      </c>
      <c r="AE830" t="n">
        <v>14</v>
      </c>
      <c r="AF830" t="n">
        <v>5</v>
      </c>
      <c r="AG830" t="n">
        <v>5</v>
      </c>
      <c r="AH830" t="n">
        <v>5</v>
      </c>
      <c r="AI830" t="n">
        <v>5</v>
      </c>
      <c r="AJ830" t="n">
        <v>9</v>
      </c>
      <c r="AK830" t="n">
        <v>9</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HYPERLINK("https://creighton-primo.hosted.exlibrisgroup.com/primo-explore/search?tab=default_tab&amp;search_scope=EVERYTHING&amp;vid=01CRU&amp;lang=en_US&amp;offset=0&amp;query=any,contains,991004204189702656","Catalog Record")</f>
        <v/>
      </c>
      <c r="AT830">
        <f>HYPERLINK("http://www.worldcat.org/oclc/51842135","WorldCat Record")</f>
        <v/>
      </c>
      <c r="AU830" t="inlineStr">
        <is>
          <t>837869300:eng</t>
        </is>
      </c>
      <c r="AV830" t="inlineStr">
        <is>
          <t>51842135</t>
        </is>
      </c>
      <c r="AW830" t="inlineStr">
        <is>
          <t>991004204189702656</t>
        </is>
      </c>
      <c r="AX830" t="inlineStr">
        <is>
          <t>991004204189702656</t>
        </is>
      </c>
      <c r="AY830" t="inlineStr">
        <is>
          <t>2269280790002656</t>
        </is>
      </c>
      <c r="AZ830" t="inlineStr">
        <is>
          <t>BOOK</t>
        </is>
      </c>
      <c r="BB830" t="inlineStr">
        <is>
          <t>9781580461252</t>
        </is>
      </c>
      <c r="BC830" t="inlineStr">
        <is>
          <t>32285004635750</t>
        </is>
      </c>
      <c r="BD830" t="inlineStr">
        <is>
          <t>893417361</t>
        </is>
      </c>
    </row>
    <row r="831">
      <c r="A831" t="inlineStr">
        <is>
          <t>No</t>
        </is>
      </c>
      <c r="B831" t="inlineStr">
        <is>
          <t>BV4930 .C63 1983</t>
        </is>
      </c>
      <c r="C831" t="inlineStr">
        <is>
          <t>0                      BV 4930000C  63          1983</t>
        </is>
      </c>
      <c r="D831" t="inlineStr">
        <is>
          <t>Conversions : the Christian experience / edited by Hugh T. Kerr and John M. Mulder.</t>
        </is>
      </c>
      <c r="F831" t="inlineStr">
        <is>
          <t>No</t>
        </is>
      </c>
      <c r="G831" t="inlineStr">
        <is>
          <t>1</t>
        </is>
      </c>
      <c r="H831" t="inlineStr">
        <is>
          <t>No</t>
        </is>
      </c>
      <c r="I831" t="inlineStr">
        <is>
          <t>No</t>
        </is>
      </c>
      <c r="J831" t="inlineStr">
        <is>
          <t>0</t>
        </is>
      </c>
      <c r="L831" t="inlineStr">
        <is>
          <t>Grand Rapids, Mich. : W.B. Eerdmans Pub. Co., c1983.</t>
        </is>
      </c>
      <c r="M831" t="inlineStr">
        <is>
          <t>1983</t>
        </is>
      </c>
      <c r="O831" t="inlineStr">
        <is>
          <t>eng</t>
        </is>
      </c>
      <c r="P831" t="inlineStr">
        <is>
          <t>miu</t>
        </is>
      </c>
      <c r="R831" t="inlineStr">
        <is>
          <t xml:space="preserve">BV </t>
        </is>
      </c>
      <c r="S831" t="n">
        <v>10</v>
      </c>
      <c r="T831" t="n">
        <v>10</v>
      </c>
      <c r="U831" t="inlineStr">
        <is>
          <t>2008-10-03</t>
        </is>
      </c>
      <c r="V831" t="inlineStr">
        <is>
          <t>2008-10-03</t>
        </is>
      </c>
      <c r="W831" t="inlineStr">
        <is>
          <t>1992-03-11</t>
        </is>
      </c>
      <c r="X831" t="inlineStr">
        <is>
          <t>1992-03-11</t>
        </is>
      </c>
      <c r="Y831" t="n">
        <v>653</v>
      </c>
      <c r="Z831" t="n">
        <v>590</v>
      </c>
      <c r="AA831" t="n">
        <v>600</v>
      </c>
      <c r="AB831" t="n">
        <v>4</v>
      </c>
      <c r="AC831" t="n">
        <v>4</v>
      </c>
      <c r="AD831" t="n">
        <v>28</v>
      </c>
      <c r="AE831" t="n">
        <v>28</v>
      </c>
      <c r="AF831" t="n">
        <v>12</v>
      </c>
      <c r="AG831" t="n">
        <v>12</v>
      </c>
      <c r="AH831" t="n">
        <v>3</v>
      </c>
      <c r="AI831" t="n">
        <v>3</v>
      </c>
      <c r="AJ831" t="n">
        <v>18</v>
      </c>
      <c r="AK831" t="n">
        <v>18</v>
      </c>
      <c r="AL831" t="n">
        <v>2</v>
      </c>
      <c r="AM831" t="n">
        <v>2</v>
      </c>
      <c r="AN831" t="n">
        <v>0</v>
      </c>
      <c r="AO831" t="n">
        <v>0</v>
      </c>
      <c r="AP831" t="inlineStr">
        <is>
          <t>No</t>
        </is>
      </c>
      <c r="AQ831" t="inlineStr">
        <is>
          <t>Yes</t>
        </is>
      </c>
      <c r="AR831">
        <f>HYPERLINK("http://catalog.hathitrust.org/Record/000777421","HathiTrust Record")</f>
        <v/>
      </c>
      <c r="AS831">
        <f>HYPERLINK("https://creighton-primo.hosted.exlibrisgroup.com/primo-explore/search?tab=default_tab&amp;search_scope=EVERYTHING&amp;vid=01CRU&amp;lang=en_US&amp;offset=0&amp;query=any,contains,991000182649702656","Catalog Record")</f>
        <v/>
      </c>
      <c r="AT831">
        <f>HYPERLINK("http://www.worldcat.org/oclc/9392717","WorldCat Record")</f>
        <v/>
      </c>
      <c r="AU831" t="inlineStr">
        <is>
          <t>65599059:eng</t>
        </is>
      </c>
      <c r="AV831" t="inlineStr">
        <is>
          <t>9392717</t>
        </is>
      </c>
      <c r="AW831" t="inlineStr">
        <is>
          <t>991000182649702656</t>
        </is>
      </c>
      <c r="AX831" t="inlineStr">
        <is>
          <t>991000182649702656</t>
        </is>
      </c>
      <c r="AY831" t="inlineStr">
        <is>
          <t>2268634110002656</t>
        </is>
      </c>
      <c r="AZ831" t="inlineStr">
        <is>
          <t>BOOK</t>
        </is>
      </c>
      <c r="BB831" t="inlineStr">
        <is>
          <t>9780802835871</t>
        </is>
      </c>
      <c r="BC831" t="inlineStr">
        <is>
          <t>32285000969716</t>
        </is>
      </c>
      <c r="BD831" t="inlineStr">
        <is>
          <t>893884207</t>
        </is>
      </c>
    </row>
    <row r="832">
      <c r="A832" t="inlineStr">
        <is>
          <t>No</t>
        </is>
      </c>
      <c r="B832" t="inlineStr">
        <is>
          <t>BV4930 .G86 1988</t>
        </is>
      </c>
      <c r="C832" t="inlineStr">
        <is>
          <t>0                      BV 4930000G  86          1988</t>
        </is>
      </c>
      <c r="D832" t="inlineStr">
        <is>
          <t>Celibacy : renewing the gift, releasing the power / Raymond J. Gunzel.</t>
        </is>
      </c>
      <c r="F832" t="inlineStr">
        <is>
          <t>No</t>
        </is>
      </c>
      <c r="G832" t="inlineStr">
        <is>
          <t>1</t>
        </is>
      </c>
      <c r="H832" t="inlineStr">
        <is>
          <t>No</t>
        </is>
      </c>
      <c r="I832" t="inlineStr">
        <is>
          <t>No</t>
        </is>
      </c>
      <c r="J832" t="inlineStr">
        <is>
          <t>0</t>
        </is>
      </c>
      <c r="K832" t="inlineStr">
        <is>
          <t>Gunzel, Raymond J.</t>
        </is>
      </c>
      <c r="L832" t="inlineStr">
        <is>
          <t>Kansas City, Mo. : Sheed &amp; Ward, 1988.</t>
        </is>
      </c>
      <c r="M832" t="inlineStr">
        <is>
          <t>1988</t>
        </is>
      </c>
      <c r="O832" t="inlineStr">
        <is>
          <t>eng</t>
        </is>
      </c>
      <c r="P832" t="inlineStr">
        <is>
          <t>mou</t>
        </is>
      </c>
      <c r="R832" t="inlineStr">
        <is>
          <t xml:space="preserve">BV </t>
        </is>
      </c>
      <c r="S832" t="n">
        <v>4</v>
      </c>
      <c r="T832" t="n">
        <v>4</v>
      </c>
      <c r="U832" t="inlineStr">
        <is>
          <t>2003-12-11</t>
        </is>
      </c>
      <c r="V832" t="inlineStr">
        <is>
          <t>2003-12-11</t>
        </is>
      </c>
      <c r="W832" t="inlineStr">
        <is>
          <t>1990-04-20</t>
        </is>
      </c>
      <c r="X832" t="inlineStr">
        <is>
          <t>1990-04-20</t>
        </is>
      </c>
      <c r="Y832" t="n">
        <v>117</v>
      </c>
      <c r="Z832" t="n">
        <v>99</v>
      </c>
      <c r="AA832" t="n">
        <v>100</v>
      </c>
      <c r="AB832" t="n">
        <v>2</v>
      </c>
      <c r="AC832" t="n">
        <v>2</v>
      </c>
      <c r="AD832" t="n">
        <v>12</v>
      </c>
      <c r="AE832" t="n">
        <v>12</v>
      </c>
      <c r="AF832" t="n">
        <v>1</v>
      </c>
      <c r="AG832" t="n">
        <v>1</v>
      </c>
      <c r="AH832" t="n">
        <v>4</v>
      </c>
      <c r="AI832" t="n">
        <v>4</v>
      </c>
      <c r="AJ832" t="n">
        <v>10</v>
      </c>
      <c r="AK832" t="n">
        <v>10</v>
      </c>
      <c r="AL832" t="n">
        <v>0</v>
      </c>
      <c r="AM832" t="n">
        <v>0</v>
      </c>
      <c r="AN832" t="n">
        <v>0</v>
      </c>
      <c r="AO832" t="n">
        <v>0</v>
      </c>
      <c r="AP832" t="inlineStr">
        <is>
          <t>No</t>
        </is>
      </c>
      <c r="AQ832" t="inlineStr">
        <is>
          <t>Yes</t>
        </is>
      </c>
      <c r="AR832">
        <f>HYPERLINK("http://catalog.hathitrust.org/Record/007038709","HathiTrust Record")</f>
        <v/>
      </c>
      <c r="AS832">
        <f>HYPERLINK("https://creighton-primo.hosted.exlibrisgroup.com/primo-explore/search?tab=default_tab&amp;search_scope=EVERYTHING&amp;vid=01CRU&amp;lang=en_US&amp;offset=0&amp;query=any,contains,991001426559702656","Catalog Record")</f>
        <v/>
      </c>
      <c r="AT832">
        <f>HYPERLINK("http://www.worldcat.org/oclc/19032449","WorldCat Record")</f>
        <v/>
      </c>
      <c r="AU832" t="inlineStr">
        <is>
          <t>2219615238:eng</t>
        </is>
      </c>
      <c r="AV832" t="inlineStr">
        <is>
          <t>19032449</t>
        </is>
      </c>
      <c r="AW832" t="inlineStr">
        <is>
          <t>991001426559702656</t>
        </is>
      </c>
      <c r="AX832" t="inlineStr">
        <is>
          <t>991001426559702656</t>
        </is>
      </c>
      <c r="AY832" t="inlineStr">
        <is>
          <t>2257124610002656</t>
        </is>
      </c>
      <c r="AZ832" t="inlineStr">
        <is>
          <t>BOOK</t>
        </is>
      </c>
      <c r="BB832" t="inlineStr">
        <is>
          <t>9781556121975</t>
        </is>
      </c>
      <c r="BC832" t="inlineStr">
        <is>
          <t>32285000122985</t>
        </is>
      </c>
      <c r="BD832" t="inlineStr">
        <is>
          <t>893791440</t>
        </is>
      </c>
    </row>
    <row r="833">
      <c r="A833" t="inlineStr">
        <is>
          <t>No</t>
        </is>
      </c>
      <c r="B833" t="inlineStr">
        <is>
          <t>BV4935.C63 A33</t>
        </is>
      </c>
      <c r="C833" t="inlineStr">
        <is>
          <t>0                      BV 4935000C  63                 A  33</t>
        </is>
      </c>
      <c r="D833" t="inlineStr">
        <is>
          <t>Born again / Charles W. Colson.</t>
        </is>
      </c>
      <c r="F833" t="inlineStr">
        <is>
          <t>No</t>
        </is>
      </c>
      <c r="G833" t="inlineStr">
        <is>
          <t>1</t>
        </is>
      </c>
      <c r="H833" t="inlineStr">
        <is>
          <t>No</t>
        </is>
      </c>
      <c r="I833" t="inlineStr">
        <is>
          <t>No</t>
        </is>
      </c>
      <c r="J833" t="inlineStr">
        <is>
          <t>0</t>
        </is>
      </c>
      <c r="K833" t="inlineStr">
        <is>
          <t>Colson, Charles W.</t>
        </is>
      </c>
      <c r="L833" t="inlineStr">
        <is>
          <t>Old Tappan, N.J. : Chosen Books : distributed by F. H. Revell Co., c1976, 1977 printing.</t>
        </is>
      </c>
      <c r="M833" t="inlineStr">
        <is>
          <t>1976</t>
        </is>
      </c>
      <c r="O833" t="inlineStr">
        <is>
          <t>eng</t>
        </is>
      </c>
      <c r="P833" t="inlineStr">
        <is>
          <t>nju</t>
        </is>
      </c>
      <c r="R833" t="inlineStr">
        <is>
          <t xml:space="preserve">BV </t>
        </is>
      </c>
      <c r="S833" t="n">
        <v>1</v>
      </c>
      <c r="T833" t="n">
        <v>1</v>
      </c>
      <c r="U833" t="inlineStr">
        <is>
          <t>2007-08-29</t>
        </is>
      </c>
      <c r="V833" t="inlineStr">
        <is>
          <t>2007-08-29</t>
        </is>
      </c>
      <c r="W833" t="inlineStr">
        <is>
          <t>1992-03-11</t>
        </is>
      </c>
      <c r="X833" t="inlineStr">
        <is>
          <t>1992-03-11</t>
        </is>
      </c>
      <c r="Y833" t="n">
        <v>1599</v>
      </c>
      <c r="Z833" t="n">
        <v>1535</v>
      </c>
      <c r="AA833" t="n">
        <v>1866</v>
      </c>
      <c r="AB833" t="n">
        <v>16</v>
      </c>
      <c r="AC833" t="n">
        <v>20</v>
      </c>
      <c r="AD833" t="n">
        <v>33</v>
      </c>
      <c r="AE833" t="n">
        <v>42</v>
      </c>
      <c r="AF833" t="n">
        <v>12</v>
      </c>
      <c r="AG833" t="n">
        <v>15</v>
      </c>
      <c r="AH833" t="n">
        <v>7</v>
      </c>
      <c r="AI833" t="n">
        <v>9</v>
      </c>
      <c r="AJ833" t="n">
        <v>14</v>
      </c>
      <c r="AK833" t="n">
        <v>19</v>
      </c>
      <c r="AL833" t="n">
        <v>6</v>
      </c>
      <c r="AM833" t="n">
        <v>8</v>
      </c>
      <c r="AN833" t="n">
        <v>1</v>
      </c>
      <c r="AO833" t="n">
        <v>1</v>
      </c>
      <c r="AP833" t="inlineStr">
        <is>
          <t>No</t>
        </is>
      </c>
      <c r="AQ833" t="inlineStr">
        <is>
          <t>Yes</t>
        </is>
      </c>
      <c r="AR833">
        <f>HYPERLINK("http://catalog.hathitrust.org/Record/000710454","HathiTrust Record")</f>
        <v/>
      </c>
      <c r="AS833">
        <f>HYPERLINK("https://creighton-primo.hosted.exlibrisgroup.com/primo-explore/search?tab=default_tab&amp;search_scope=EVERYTHING&amp;vid=01CRU&amp;lang=en_US&amp;offset=0&amp;query=any,contains,991003953429702656","Catalog Record")</f>
        <v/>
      </c>
      <c r="AT833">
        <f>HYPERLINK("http://www.worldcat.org/oclc/1959557","WorldCat Record")</f>
        <v/>
      </c>
      <c r="AU833" t="inlineStr">
        <is>
          <t>449406:eng</t>
        </is>
      </c>
      <c r="AV833" t="inlineStr">
        <is>
          <t>1959557</t>
        </is>
      </c>
      <c r="AW833" t="inlineStr">
        <is>
          <t>991003953429702656</t>
        </is>
      </c>
      <c r="AX833" t="inlineStr">
        <is>
          <t>991003953429702656</t>
        </is>
      </c>
      <c r="AY833" t="inlineStr">
        <is>
          <t>2266105840002656</t>
        </is>
      </c>
      <c r="AZ833" t="inlineStr">
        <is>
          <t>BOOK</t>
        </is>
      </c>
      <c r="BB833" t="inlineStr">
        <is>
          <t>9780912376134</t>
        </is>
      </c>
      <c r="BC833" t="inlineStr">
        <is>
          <t>32285000969724</t>
        </is>
      </c>
      <c r="BD833" t="inlineStr">
        <is>
          <t>893423201</t>
        </is>
      </c>
    </row>
    <row r="834">
      <c r="A834" t="inlineStr">
        <is>
          <t>No</t>
        </is>
      </c>
      <c r="B834" t="inlineStr">
        <is>
          <t>BV5 .M57</t>
        </is>
      </c>
      <c r="C834" t="inlineStr">
        <is>
          <t>0                      BV 0005000M  57</t>
        </is>
      </c>
      <c r="D834" t="inlineStr">
        <is>
          <t>The meaning of ritual / by Leonel L. Mitchell.</t>
        </is>
      </c>
      <c r="F834" t="inlineStr">
        <is>
          <t>No</t>
        </is>
      </c>
      <c r="G834" t="inlineStr">
        <is>
          <t>1</t>
        </is>
      </c>
      <c r="H834" t="inlineStr">
        <is>
          <t>No</t>
        </is>
      </c>
      <c r="I834" t="inlineStr">
        <is>
          <t>No</t>
        </is>
      </c>
      <c r="J834" t="inlineStr">
        <is>
          <t>0</t>
        </is>
      </c>
      <c r="K834" t="inlineStr">
        <is>
          <t>Mitchell, Leonel L. (Leonel Lake), 1930-</t>
        </is>
      </c>
      <c r="L834" t="inlineStr">
        <is>
          <t>New York : Paulist Press, c1977.</t>
        </is>
      </c>
      <c r="M834" t="inlineStr">
        <is>
          <t>1977</t>
        </is>
      </c>
      <c r="O834" t="inlineStr">
        <is>
          <t>eng</t>
        </is>
      </c>
      <c r="P834" t="inlineStr">
        <is>
          <t>nyu</t>
        </is>
      </c>
      <c r="Q834" t="inlineStr">
        <is>
          <t>A Deus book</t>
        </is>
      </c>
      <c r="R834" t="inlineStr">
        <is>
          <t xml:space="preserve">BV </t>
        </is>
      </c>
      <c r="S834" t="n">
        <v>2</v>
      </c>
      <c r="T834" t="n">
        <v>2</v>
      </c>
      <c r="U834" t="inlineStr">
        <is>
          <t>1999-10-20</t>
        </is>
      </c>
      <c r="V834" t="inlineStr">
        <is>
          <t>1999-10-20</t>
        </is>
      </c>
      <c r="W834" t="inlineStr">
        <is>
          <t>1991-11-07</t>
        </is>
      </c>
      <c r="X834" t="inlineStr">
        <is>
          <t>1991-11-07</t>
        </is>
      </c>
      <c r="Y834" t="n">
        <v>400</v>
      </c>
      <c r="Z834" t="n">
        <v>359</v>
      </c>
      <c r="AA834" t="n">
        <v>413</v>
      </c>
      <c r="AB834" t="n">
        <v>3</v>
      </c>
      <c r="AC834" t="n">
        <v>3</v>
      </c>
      <c r="AD834" t="n">
        <v>20</v>
      </c>
      <c r="AE834" t="n">
        <v>23</v>
      </c>
      <c r="AF834" t="n">
        <v>4</v>
      </c>
      <c r="AG834" t="n">
        <v>6</v>
      </c>
      <c r="AH834" t="n">
        <v>7</v>
      </c>
      <c r="AI834" t="n">
        <v>7</v>
      </c>
      <c r="AJ834" t="n">
        <v>15</v>
      </c>
      <c r="AK834" t="n">
        <v>16</v>
      </c>
      <c r="AL834" t="n">
        <v>1</v>
      </c>
      <c r="AM834" t="n">
        <v>1</v>
      </c>
      <c r="AN834" t="n">
        <v>0</v>
      </c>
      <c r="AO834" t="n">
        <v>0</v>
      </c>
      <c r="AP834" t="inlineStr">
        <is>
          <t>No</t>
        </is>
      </c>
      <c r="AQ834" t="inlineStr">
        <is>
          <t>Yes</t>
        </is>
      </c>
      <c r="AR834">
        <f>HYPERLINK("http://catalog.hathitrust.org/Record/102002489","HathiTrust Record")</f>
        <v/>
      </c>
      <c r="AS834">
        <f>HYPERLINK("https://creighton-primo.hosted.exlibrisgroup.com/primo-explore/search?tab=default_tab&amp;search_scope=EVERYTHING&amp;vid=01CRU&amp;lang=en_US&amp;offset=0&amp;query=any,contains,991004419199702656","Catalog Record")</f>
        <v/>
      </c>
      <c r="AT834">
        <f>HYPERLINK("http://www.worldcat.org/oclc/3379758","WorldCat Record")</f>
        <v/>
      </c>
      <c r="AU834" t="inlineStr">
        <is>
          <t>9857793:eng</t>
        </is>
      </c>
      <c r="AV834" t="inlineStr">
        <is>
          <t>3379758</t>
        </is>
      </c>
      <c r="AW834" t="inlineStr">
        <is>
          <t>991004419199702656</t>
        </is>
      </c>
      <c r="AX834" t="inlineStr">
        <is>
          <t>991004419199702656</t>
        </is>
      </c>
      <c r="AY834" t="inlineStr">
        <is>
          <t>2256475620002656</t>
        </is>
      </c>
      <c r="AZ834" t="inlineStr">
        <is>
          <t>BOOK</t>
        </is>
      </c>
      <c r="BB834" t="inlineStr">
        <is>
          <t>9780809120352</t>
        </is>
      </c>
      <c r="BC834" t="inlineStr">
        <is>
          <t>32285000809714</t>
        </is>
      </c>
      <c r="BD834" t="inlineStr">
        <is>
          <t>893794840</t>
        </is>
      </c>
    </row>
    <row r="835">
      <c r="A835" t="inlineStr">
        <is>
          <t>No</t>
        </is>
      </c>
      <c r="B835" t="inlineStr">
        <is>
          <t>BV5021 .M37 1930</t>
        </is>
      </c>
      <c r="C835" t="inlineStr">
        <is>
          <t>0                      BV 5021000M  37          1930</t>
        </is>
      </c>
      <c r="D835" t="inlineStr">
        <is>
          <t>The Christian life and the spiritual life : introduction to the study of ascetical and mystical theology / by V. E. Masson, O. P. ; translated by Sr. M. Hyacinth, O. P.</t>
        </is>
      </c>
      <c r="F835" t="inlineStr">
        <is>
          <t>No</t>
        </is>
      </c>
      <c r="G835" t="inlineStr">
        <is>
          <t>1</t>
        </is>
      </c>
      <c r="H835" t="inlineStr">
        <is>
          <t>No</t>
        </is>
      </c>
      <c r="I835" t="inlineStr">
        <is>
          <t>No</t>
        </is>
      </c>
      <c r="J835" t="inlineStr">
        <is>
          <t>0</t>
        </is>
      </c>
      <c r="K835" t="inlineStr">
        <is>
          <t>Masson, Yves Ernest, 1883-</t>
        </is>
      </c>
      <c r="L835" t="inlineStr">
        <is>
          <t>London : Sands &amp; co. ; St. Louis, Mo. : Botterder book co., [1930]</t>
        </is>
      </c>
      <c r="M835" t="inlineStr">
        <is>
          <t>1930</t>
        </is>
      </c>
      <c r="O835" t="inlineStr">
        <is>
          <t>eng</t>
        </is>
      </c>
      <c r="P835" t="inlineStr">
        <is>
          <t>enk</t>
        </is>
      </c>
      <c r="Q835" t="inlineStr">
        <is>
          <t>Catholic library of religious knowledge ; XVI</t>
        </is>
      </c>
      <c r="R835" t="inlineStr">
        <is>
          <t xml:space="preserve">BV </t>
        </is>
      </c>
      <c r="S835" t="n">
        <v>6</v>
      </c>
      <c r="T835" t="n">
        <v>6</v>
      </c>
      <c r="U835" t="inlineStr">
        <is>
          <t>1998-04-28</t>
        </is>
      </c>
      <c r="V835" t="inlineStr">
        <is>
          <t>1998-04-28</t>
        </is>
      </c>
      <c r="W835" t="inlineStr">
        <is>
          <t>1992-03-16</t>
        </is>
      </c>
      <c r="X835" t="inlineStr">
        <is>
          <t>1992-03-16</t>
        </is>
      </c>
      <c r="Y835" t="n">
        <v>52</v>
      </c>
      <c r="Z835" t="n">
        <v>41</v>
      </c>
      <c r="AA835" t="n">
        <v>41</v>
      </c>
      <c r="AB835" t="n">
        <v>1</v>
      </c>
      <c r="AC835" t="n">
        <v>1</v>
      </c>
      <c r="AD835" t="n">
        <v>10</v>
      </c>
      <c r="AE835" t="n">
        <v>10</v>
      </c>
      <c r="AF835" t="n">
        <v>3</v>
      </c>
      <c r="AG835" t="n">
        <v>3</v>
      </c>
      <c r="AH835" t="n">
        <v>3</v>
      </c>
      <c r="AI835" t="n">
        <v>3</v>
      </c>
      <c r="AJ835" t="n">
        <v>6</v>
      </c>
      <c r="AK835" t="n">
        <v>6</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HYPERLINK("https://creighton-primo.hosted.exlibrisgroup.com/primo-explore/search?tab=default_tab&amp;search_scope=EVERYTHING&amp;vid=01CRU&amp;lang=en_US&amp;offset=0&amp;query=any,contains,991004570799702656","Catalog Record")</f>
        <v/>
      </c>
      <c r="AT835">
        <f>HYPERLINK("http://www.worldcat.org/oclc/4027157","WorldCat Record")</f>
        <v/>
      </c>
      <c r="AU835" t="inlineStr">
        <is>
          <t>33732483:eng</t>
        </is>
      </c>
      <c r="AV835" t="inlineStr">
        <is>
          <t>4027157</t>
        </is>
      </c>
      <c r="AW835" t="inlineStr">
        <is>
          <t>991004570799702656</t>
        </is>
      </c>
      <c r="AX835" t="inlineStr">
        <is>
          <t>991004570799702656</t>
        </is>
      </c>
      <c r="AY835" t="inlineStr">
        <is>
          <t>2269900490002656</t>
        </is>
      </c>
      <c r="AZ835" t="inlineStr">
        <is>
          <t>BOOK</t>
        </is>
      </c>
      <c r="BC835" t="inlineStr">
        <is>
          <t>32285000969773</t>
        </is>
      </c>
      <c r="BD835" t="inlineStr">
        <is>
          <t>893593861</t>
        </is>
      </c>
    </row>
    <row r="836">
      <c r="A836" t="inlineStr">
        <is>
          <t>No</t>
        </is>
      </c>
      <c r="B836" t="inlineStr">
        <is>
          <t>BV5021 .P6 1953-55</t>
        </is>
      </c>
      <c r="C836" t="inlineStr">
        <is>
          <t>0                      BV 5021000P  6           1953                                        -55</t>
        </is>
      </c>
      <c r="D836" t="inlineStr">
        <is>
          <t>Christian spirituality / by Pierre Pourrat ; translated by Donald Attwater.</t>
        </is>
      </c>
      <c r="F836" t="inlineStr">
        <is>
          <t>Yes</t>
        </is>
      </c>
      <c r="G836" t="inlineStr">
        <is>
          <t>1</t>
        </is>
      </c>
      <c r="H836" t="inlineStr">
        <is>
          <t>Yes</t>
        </is>
      </c>
      <c r="I836" t="inlineStr">
        <is>
          <t>No</t>
        </is>
      </c>
      <c r="J836" t="inlineStr">
        <is>
          <t>0</t>
        </is>
      </c>
      <c r="K836" t="inlineStr">
        <is>
          <t>Pourrat, P. (Pierre), 1871-</t>
        </is>
      </c>
      <c r="L836" t="inlineStr">
        <is>
          <t>Westminster, Md. : Newman Press, 1953-55.</t>
        </is>
      </c>
      <c r="M836" t="inlineStr">
        <is>
          <t>1953</t>
        </is>
      </c>
      <c r="O836" t="inlineStr">
        <is>
          <t>eng</t>
        </is>
      </c>
      <c r="P836" t="inlineStr">
        <is>
          <t>___</t>
        </is>
      </c>
      <c r="R836" t="inlineStr">
        <is>
          <t xml:space="preserve">BV </t>
        </is>
      </c>
      <c r="S836" t="n">
        <v>4</v>
      </c>
      <c r="T836" t="n">
        <v>9</v>
      </c>
      <c r="U836" t="inlineStr">
        <is>
          <t>1991-12-20</t>
        </is>
      </c>
      <c r="V836" t="inlineStr">
        <is>
          <t>1998-07-09</t>
        </is>
      </c>
      <c r="W836" t="inlineStr">
        <is>
          <t>1991-07-11</t>
        </is>
      </c>
      <c r="X836" t="inlineStr">
        <is>
          <t>1991-07-11</t>
        </is>
      </c>
      <c r="Y836" t="n">
        <v>216</v>
      </c>
      <c r="Z836" t="n">
        <v>198</v>
      </c>
      <c r="AA836" t="n">
        <v>208</v>
      </c>
      <c r="AB836" t="n">
        <v>3</v>
      </c>
      <c r="AC836" t="n">
        <v>3</v>
      </c>
      <c r="AD836" t="n">
        <v>24</v>
      </c>
      <c r="AE836" t="n">
        <v>25</v>
      </c>
      <c r="AF836" t="n">
        <v>9</v>
      </c>
      <c r="AG836" t="n">
        <v>10</v>
      </c>
      <c r="AH836" t="n">
        <v>6</v>
      </c>
      <c r="AI836" t="n">
        <v>6</v>
      </c>
      <c r="AJ836" t="n">
        <v>17</v>
      </c>
      <c r="AK836" t="n">
        <v>17</v>
      </c>
      <c r="AL836" t="n">
        <v>0</v>
      </c>
      <c r="AM836" t="n">
        <v>0</v>
      </c>
      <c r="AN836" t="n">
        <v>0</v>
      </c>
      <c r="AO836" t="n">
        <v>0</v>
      </c>
      <c r="AP836" t="inlineStr">
        <is>
          <t>No</t>
        </is>
      </c>
      <c r="AQ836" t="inlineStr">
        <is>
          <t>Yes</t>
        </is>
      </c>
      <c r="AR836">
        <f>HYPERLINK("http://catalog.hathitrust.org/Record/001415001","HathiTrust Record")</f>
        <v/>
      </c>
      <c r="AS836">
        <f>HYPERLINK("https://creighton-primo.hosted.exlibrisgroup.com/primo-explore/search?tab=default_tab&amp;search_scope=EVERYTHING&amp;vid=01CRU&amp;lang=en_US&amp;offset=0&amp;query=any,contains,991002890159702656","Catalog Record")</f>
        <v/>
      </c>
      <c r="AT836">
        <f>HYPERLINK("http://www.worldcat.org/oclc/511178","WorldCat Record")</f>
        <v/>
      </c>
      <c r="AU836" t="inlineStr">
        <is>
          <t>4648418061:eng</t>
        </is>
      </c>
      <c r="AV836" t="inlineStr">
        <is>
          <t>511178</t>
        </is>
      </c>
      <c r="AW836" t="inlineStr">
        <is>
          <t>991002890159702656</t>
        </is>
      </c>
      <c r="AX836" t="inlineStr">
        <is>
          <t>991002890159702656</t>
        </is>
      </c>
      <c r="AY836" t="inlineStr">
        <is>
          <t>2263891150002656</t>
        </is>
      </c>
      <c r="AZ836" t="inlineStr">
        <is>
          <t>BOOK</t>
        </is>
      </c>
      <c r="BC836" t="inlineStr">
        <is>
          <t>32285000637040</t>
        </is>
      </c>
      <c r="BD836" t="inlineStr">
        <is>
          <t>893511317</t>
        </is>
      </c>
    </row>
    <row r="837">
      <c r="A837" t="inlineStr">
        <is>
          <t>No</t>
        </is>
      </c>
      <c r="B837" t="inlineStr">
        <is>
          <t>BV5021 .P6 1953-55</t>
        </is>
      </c>
      <c r="C837" t="inlineStr">
        <is>
          <t>0                      BV 5021000P  6           1953                                        -55</t>
        </is>
      </c>
      <c r="D837" t="inlineStr">
        <is>
          <t>Christian spirituality / by Pierre Pourrat ; translated by Donald Attwater.</t>
        </is>
      </c>
      <c r="F837" t="inlineStr">
        <is>
          <t>Yes</t>
        </is>
      </c>
      <c r="G837" t="inlineStr">
        <is>
          <t>1</t>
        </is>
      </c>
      <c r="H837" t="inlineStr">
        <is>
          <t>Yes</t>
        </is>
      </c>
      <c r="I837" t="inlineStr">
        <is>
          <t>No</t>
        </is>
      </c>
      <c r="J837" t="inlineStr">
        <is>
          <t>0</t>
        </is>
      </c>
      <c r="K837" t="inlineStr">
        <is>
          <t>Pourrat, P. (Pierre), 1871-</t>
        </is>
      </c>
      <c r="L837" t="inlineStr">
        <is>
          <t>Westminster, Md. : Newman Press, 1953-55.</t>
        </is>
      </c>
      <c r="M837" t="inlineStr">
        <is>
          <t>1953</t>
        </is>
      </c>
      <c r="O837" t="inlineStr">
        <is>
          <t>eng</t>
        </is>
      </c>
      <c r="P837" t="inlineStr">
        <is>
          <t>___</t>
        </is>
      </c>
      <c r="R837" t="inlineStr">
        <is>
          <t xml:space="preserve">BV </t>
        </is>
      </c>
      <c r="S837" t="n">
        <v>5</v>
      </c>
      <c r="T837" t="n">
        <v>9</v>
      </c>
      <c r="U837" t="inlineStr">
        <is>
          <t>1998-07-09</t>
        </is>
      </c>
      <c r="V837" t="inlineStr">
        <is>
          <t>1998-07-09</t>
        </is>
      </c>
      <c r="W837" t="inlineStr">
        <is>
          <t>1991-07-11</t>
        </is>
      </c>
      <c r="X837" t="inlineStr">
        <is>
          <t>1991-07-11</t>
        </is>
      </c>
      <c r="Y837" t="n">
        <v>216</v>
      </c>
      <c r="Z837" t="n">
        <v>198</v>
      </c>
      <c r="AA837" t="n">
        <v>208</v>
      </c>
      <c r="AB837" t="n">
        <v>3</v>
      </c>
      <c r="AC837" t="n">
        <v>3</v>
      </c>
      <c r="AD837" t="n">
        <v>24</v>
      </c>
      <c r="AE837" t="n">
        <v>25</v>
      </c>
      <c r="AF837" t="n">
        <v>9</v>
      </c>
      <c r="AG837" t="n">
        <v>10</v>
      </c>
      <c r="AH837" t="n">
        <v>6</v>
      </c>
      <c r="AI837" t="n">
        <v>6</v>
      </c>
      <c r="AJ837" t="n">
        <v>17</v>
      </c>
      <c r="AK837" t="n">
        <v>17</v>
      </c>
      <c r="AL837" t="n">
        <v>0</v>
      </c>
      <c r="AM837" t="n">
        <v>0</v>
      </c>
      <c r="AN837" t="n">
        <v>0</v>
      </c>
      <c r="AO837" t="n">
        <v>0</v>
      </c>
      <c r="AP837" t="inlineStr">
        <is>
          <t>No</t>
        </is>
      </c>
      <c r="AQ837" t="inlineStr">
        <is>
          <t>Yes</t>
        </is>
      </c>
      <c r="AR837">
        <f>HYPERLINK("http://catalog.hathitrust.org/Record/001415001","HathiTrust Record")</f>
        <v/>
      </c>
      <c r="AS837">
        <f>HYPERLINK("https://creighton-primo.hosted.exlibrisgroup.com/primo-explore/search?tab=default_tab&amp;search_scope=EVERYTHING&amp;vid=01CRU&amp;lang=en_US&amp;offset=0&amp;query=any,contains,991002890159702656","Catalog Record")</f>
        <v/>
      </c>
      <c r="AT837">
        <f>HYPERLINK("http://www.worldcat.org/oclc/511178","WorldCat Record")</f>
        <v/>
      </c>
      <c r="AU837" t="inlineStr">
        <is>
          <t>4648418061:eng</t>
        </is>
      </c>
      <c r="AV837" t="inlineStr">
        <is>
          <t>511178</t>
        </is>
      </c>
      <c r="AW837" t="inlineStr">
        <is>
          <t>991002890159702656</t>
        </is>
      </c>
      <c r="AX837" t="inlineStr">
        <is>
          <t>991002890159702656</t>
        </is>
      </c>
      <c r="AY837" t="inlineStr">
        <is>
          <t>2263891150002656</t>
        </is>
      </c>
      <c r="AZ837" t="inlineStr">
        <is>
          <t>BOOK</t>
        </is>
      </c>
      <c r="BC837" t="inlineStr">
        <is>
          <t>32285000637057</t>
        </is>
      </c>
      <c r="BD837" t="inlineStr">
        <is>
          <t>893511318</t>
        </is>
      </c>
    </row>
    <row r="838">
      <c r="A838" t="inlineStr">
        <is>
          <t>No</t>
        </is>
      </c>
      <c r="B838" t="inlineStr">
        <is>
          <t>BV5023 .A73 1990</t>
        </is>
      </c>
      <c r="C838" t="inlineStr">
        <is>
          <t>0                      BV 5023000A  73          1990</t>
        </is>
      </c>
      <c r="D838" t="inlineStr">
        <is>
          <t>Ascetic behavior in Greco-Roman antiquity : a sourcebook / Vincent L. Wimbush, editor.</t>
        </is>
      </c>
      <c r="F838" t="inlineStr">
        <is>
          <t>No</t>
        </is>
      </c>
      <c r="G838" t="inlineStr">
        <is>
          <t>1</t>
        </is>
      </c>
      <c r="H838" t="inlineStr">
        <is>
          <t>No</t>
        </is>
      </c>
      <c r="I838" t="inlineStr">
        <is>
          <t>No</t>
        </is>
      </c>
      <c r="J838" t="inlineStr">
        <is>
          <t>0</t>
        </is>
      </c>
      <c r="L838" t="inlineStr">
        <is>
          <t>Mineapolis : Fortress Press, c1990.</t>
        </is>
      </c>
      <c r="M838" t="inlineStr">
        <is>
          <t>1990</t>
        </is>
      </c>
      <c r="O838" t="inlineStr">
        <is>
          <t>eng</t>
        </is>
      </c>
      <c r="P838" t="inlineStr">
        <is>
          <t>mnu</t>
        </is>
      </c>
      <c r="Q838" t="inlineStr">
        <is>
          <t>Studies in antiquity &amp; Christianity</t>
        </is>
      </c>
      <c r="R838" t="inlineStr">
        <is>
          <t xml:space="preserve">BV </t>
        </is>
      </c>
      <c r="S838" t="n">
        <v>8</v>
      </c>
      <c r="T838" t="n">
        <v>8</v>
      </c>
      <c r="U838" t="inlineStr">
        <is>
          <t>2008-03-28</t>
        </is>
      </c>
      <c r="V838" t="inlineStr">
        <is>
          <t>2008-03-28</t>
        </is>
      </c>
      <c r="W838" t="inlineStr">
        <is>
          <t>1992-01-22</t>
        </is>
      </c>
      <c r="X838" t="inlineStr">
        <is>
          <t>1992-01-22</t>
        </is>
      </c>
      <c r="Y838" t="n">
        <v>435</v>
      </c>
      <c r="Z838" t="n">
        <v>333</v>
      </c>
      <c r="AA838" t="n">
        <v>336</v>
      </c>
      <c r="AB838" t="n">
        <v>2</v>
      </c>
      <c r="AC838" t="n">
        <v>2</v>
      </c>
      <c r="AD838" t="n">
        <v>26</v>
      </c>
      <c r="AE838" t="n">
        <v>26</v>
      </c>
      <c r="AF838" t="n">
        <v>11</v>
      </c>
      <c r="AG838" t="n">
        <v>11</v>
      </c>
      <c r="AH838" t="n">
        <v>4</v>
      </c>
      <c r="AI838" t="n">
        <v>4</v>
      </c>
      <c r="AJ838" t="n">
        <v>15</v>
      </c>
      <c r="AK838" t="n">
        <v>15</v>
      </c>
      <c r="AL838" t="n">
        <v>1</v>
      </c>
      <c r="AM838" t="n">
        <v>1</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HYPERLINK("https://creighton-primo.hosted.exlibrisgroup.com/primo-explore/search?tab=default_tab&amp;search_scope=EVERYTHING&amp;vid=01CRU&amp;lang=en_US&amp;offset=0&amp;query=any,contains,991001758209702656","Catalog Record")</f>
        <v/>
      </c>
      <c r="AT838">
        <f>HYPERLINK("http://www.worldcat.org/oclc/22240152","WorldCat Record")</f>
        <v/>
      </c>
      <c r="AU838" t="inlineStr">
        <is>
          <t>889699319:eng</t>
        </is>
      </c>
      <c r="AV838" t="inlineStr">
        <is>
          <t>22240152</t>
        </is>
      </c>
      <c r="AW838" t="inlineStr">
        <is>
          <t>991001758209702656</t>
        </is>
      </c>
      <c r="AX838" t="inlineStr">
        <is>
          <t>991001758209702656</t>
        </is>
      </c>
      <c r="AY838" t="inlineStr">
        <is>
          <t>2271504850002656</t>
        </is>
      </c>
      <c r="AZ838" t="inlineStr">
        <is>
          <t>BOOK</t>
        </is>
      </c>
      <c r="BB838" t="inlineStr">
        <is>
          <t>9780800631055</t>
        </is>
      </c>
      <c r="BC838" t="inlineStr">
        <is>
          <t>32285000865724</t>
        </is>
      </c>
      <c r="BD838" t="inlineStr">
        <is>
          <t>893590609</t>
        </is>
      </c>
    </row>
    <row r="839">
      <c r="A839" t="inlineStr">
        <is>
          <t>No</t>
        </is>
      </c>
      <c r="B839" t="inlineStr">
        <is>
          <t>BV5030 .B3 1950</t>
        </is>
      </c>
      <c r="C839" t="inlineStr">
        <is>
          <t>0                      BV 5030000B  3           1950</t>
        </is>
      </c>
      <c r="D839" t="inlineStr">
        <is>
          <t>Holy wisdom ; or, Directions for the prayer of contemplation extracted out of more than forty treatises by the Ven. F. Augustin Baker / methodically digested by Serenus Cressy and now edited from the Douay ed. of 1657 by Abbot Sweeney.</t>
        </is>
      </c>
      <c r="F839" t="inlineStr">
        <is>
          <t>No</t>
        </is>
      </c>
      <c r="G839" t="inlineStr">
        <is>
          <t>1</t>
        </is>
      </c>
      <c r="H839" t="inlineStr">
        <is>
          <t>No</t>
        </is>
      </c>
      <c r="I839" t="inlineStr">
        <is>
          <t>No</t>
        </is>
      </c>
      <c r="J839" t="inlineStr">
        <is>
          <t>0</t>
        </is>
      </c>
      <c r="K839" t="inlineStr">
        <is>
          <t>Baker, Augustine, 1575-1641.</t>
        </is>
      </c>
      <c r="L839" t="inlineStr">
        <is>
          <t>New York : Harper, [1950?]</t>
        </is>
      </c>
      <c r="M839" t="inlineStr">
        <is>
          <t>1950</t>
        </is>
      </c>
      <c r="O839" t="inlineStr">
        <is>
          <t>eng</t>
        </is>
      </c>
      <c r="P839" t="inlineStr">
        <is>
          <t>nyu</t>
        </is>
      </c>
      <c r="R839" t="inlineStr">
        <is>
          <t xml:space="preserve">BV </t>
        </is>
      </c>
      <c r="S839" t="n">
        <v>2</v>
      </c>
      <c r="T839" t="n">
        <v>2</v>
      </c>
      <c r="U839" t="inlineStr">
        <is>
          <t>1995-10-26</t>
        </is>
      </c>
      <c r="V839" t="inlineStr">
        <is>
          <t>1995-10-26</t>
        </is>
      </c>
      <c r="W839" t="inlineStr">
        <is>
          <t>1992-03-16</t>
        </is>
      </c>
      <c r="X839" t="inlineStr">
        <is>
          <t>1992-03-16</t>
        </is>
      </c>
      <c r="Y839" t="n">
        <v>56</v>
      </c>
      <c r="Z839" t="n">
        <v>54</v>
      </c>
      <c r="AA839" t="n">
        <v>100</v>
      </c>
      <c r="AB839" t="n">
        <v>2</v>
      </c>
      <c r="AC839" t="n">
        <v>2</v>
      </c>
      <c r="AD839" t="n">
        <v>6</v>
      </c>
      <c r="AE839" t="n">
        <v>12</v>
      </c>
      <c r="AF839" t="n">
        <v>0</v>
      </c>
      <c r="AG839" t="n">
        <v>0</v>
      </c>
      <c r="AH839" t="n">
        <v>2</v>
      </c>
      <c r="AI839" t="n">
        <v>3</v>
      </c>
      <c r="AJ839" t="n">
        <v>5</v>
      </c>
      <c r="AK839" t="n">
        <v>10</v>
      </c>
      <c r="AL839" t="n">
        <v>1</v>
      </c>
      <c r="AM839" t="n">
        <v>1</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HYPERLINK("https://creighton-primo.hosted.exlibrisgroup.com/primo-explore/search?tab=default_tab&amp;search_scope=EVERYTHING&amp;vid=01CRU&amp;lang=en_US&amp;offset=0&amp;query=any,contains,991004720089702656","Catalog Record")</f>
        <v/>
      </c>
      <c r="AT839">
        <f>HYPERLINK("http://www.worldcat.org/oclc/4800108","WorldCat Record")</f>
        <v/>
      </c>
      <c r="AU839" t="inlineStr">
        <is>
          <t>3858838031:eng</t>
        </is>
      </c>
      <c r="AV839" t="inlineStr">
        <is>
          <t>4800108</t>
        </is>
      </c>
      <c r="AW839" t="inlineStr">
        <is>
          <t>991004720089702656</t>
        </is>
      </c>
      <c r="AX839" t="inlineStr">
        <is>
          <t>991004720089702656</t>
        </is>
      </c>
      <c r="AY839" t="inlineStr">
        <is>
          <t>2267934130002656</t>
        </is>
      </c>
      <c r="AZ839" t="inlineStr">
        <is>
          <t>BOOK</t>
        </is>
      </c>
      <c r="BC839" t="inlineStr">
        <is>
          <t>32285000969815</t>
        </is>
      </c>
      <c r="BD839" t="inlineStr">
        <is>
          <t>893628331</t>
        </is>
      </c>
    </row>
    <row r="840">
      <c r="A840" t="inlineStr">
        <is>
          <t>No</t>
        </is>
      </c>
      <c r="B840" t="inlineStr">
        <is>
          <t>BV5031 .D8 1950</t>
        </is>
      </c>
      <c r="C840" t="inlineStr">
        <is>
          <t>0                      BV 5031000D  8           1950</t>
        </is>
      </c>
      <c r="D840" t="inlineStr">
        <is>
          <t>Psychiatry and asceticism / by Felix D. Duffey.</t>
        </is>
      </c>
      <c r="F840" t="inlineStr">
        <is>
          <t>No</t>
        </is>
      </c>
      <c r="G840" t="inlineStr">
        <is>
          <t>1</t>
        </is>
      </c>
      <c r="H840" t="inlineStr">
        <is>
          <t>No</t>
        </is>
      </c>
      <c r="I840" t="inlineStr">
        <is>
          <t>No</t>
        </is>
      </c>
      <c r="J840" t="inlineStr">
        <is>
          <t>0</t>
        </is>
      </c>
      <c r="K840" t="inlineStr">
        <is>
          <t>Duffey, Felix D., 1903-</t>
        </is>
      </c>
      <c r="L840" t="inlineStr">
        <is>
          <t>St. Louis : B. Herder, 1950.</t>
        </is>
      </c>
      <c r="M840" t="inlineStr">
        <is>
          <t>1950</t>
        </is>
      </c>
      <c r="O840" t="inlineStr">
        <is>
          <t>eng</t>
        </is>
      </c>
      <c r="P840" t="inlineStr">
        <is>
          <t>___</t>
        </is>
      </c>
      <c r="R840" t="inlineStr">
        <is>
          <t xml:space="preserve">BV </t>
        </is>
      </c>
      <c r="S840" t="n">
        <v>1</v>
      </c>
      <c r="T840" t="n">
        <v>1</v>
      </c>
      <c r="U840" t="inlineStr">
        <is>
          <t>1992-07-16</t>
        </is>
      </c>
      <c r="V840" t="inlineStr">
        <is>
          <t>1992-07-16</t>
        </is>
      </c>
      <c r="W840" t="inlineStr">
        <is>
          <t>1992-03-16</t>
        </is>
      </c>
      <c r="X840" t="inlineStr">
        <is>
          <t>1992-03-16</t>
        </is>
      </c>
      <c r="Y840" t="n">
        <v>131</v>
      </c>
      <c r="Z840" t="n">
        <v>112</v>
      </c>
      <c r="AA840" t="n">
        <v>131</v>
      </c>
      <c r="AB840" t="n">
        <v>2</v>
      </c>
      <c r="AC840" t="n">
        <v>2</v>
      </c>
      <c r="AD840" t="n">
        <v>26</v>
      </c>
      <c r="AE840" t="n">
        <v>27</v>
      </c>
      <c r="AF840" t="n">
        <v>7</v>
      </c>
      <c r="AG840" t="n">
        <v>7</v>
      </c>
      <c r="AH840" t="n">
        <v>7</v>
      </c>
      <c r="AI840" t="n">
        <v>7</v>
      </c>
      <c r="AJ840" t="n">
        <v>20</v>
      </c>
      <c r="AK840" t="n">
        <v>21</v>
      </c>
      <c r="AL840" t="n">
        <v>0</v>
      </c>
      <c r="AM840" t="n">
        <v>0</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HYPERLINK("https://creighton-primo.hosted.exlibrisgroup.com/primo-explore/search?tab=default_tab&amp;search_scope=EVERYTHING&amp;vid=01CRU&amp;lang=en_US&amp;offset=0&amp;query=any,contains,991003520019702656","Catalog Record")</f>
        <v/>
      </c>
      <c r="AT840">
        <f>HYPERLINK("http://www.worldcat.org/oclc/1080031","WorldCat Record")</f>
        <v/>
      </c>
      <c r="AU840" t="inlineStr">
        <is>
          <t>2042714:eng</t>
        </is>
      </c>
      <c r="AV840" t="inlineStr">
        <is>
          <t>1080031</t>
        </is>
      </c>
      <c r="AW840" t="inlineStr">
        <is>
          <t>991003520019702656</t>
        </is>
      </c>
      <c r="AX840" t="inlineStr">
        <is>
          <t>991003520019702656</t>
        </is>
      </c>
      <c r="AY840" t="inlineStr">
        <is>
          <t>2268629790002656</t>
        </is>
      </c>
      <c r="AZ840" t="inlineStr">
        <is>
          <t>BOOK</t>
        </is>
      </c>
      <c r="BC840" t="inlineStr">
        <is>
          <t>32285000969823</t>
        </is>
      </c>
      <c r="BD840" t="inlineStr">
        <is>
          <t>893240291</t>
        </is>
      </c>
    </row>
    <row r="841">
      <c r="A841" t="inlineStr">
        <is>
          <t>No</t>
        </is>
      </c>
      <c r="B841" t="inlineStr">
        <is>
          <t>BV5031 .F37 1927</t>
        </is>
      </c>
      <c r="C841" t="inlineStr">
        <is>
          <t>0                      BV 5031000F  37          1927</t>
        </is>
      </c>
      <c r="D841" t="inlineStr">
        <is>
          <t>The ordinary ways of the spiritual life; a treatise on ascetical theology according to the principles of S. Teresa declared by the Carmelite Congress of Madrid (March,1923) for the use of seminaries, the clergy &amp; layfolk / by Albert Farges.</t>
        </is>
      </c>
      <c r="F841" t="inlineStr">
        <is>
          <t>No</t>
        </is>
      </c>
      <c r="G841" t="inlineStr">
        <is>
          <t>1</t>
        </is>
      </c>
      <c r="H841" t="inlineStr">
        <is>
          <t>No</t>
        </is>
      </c>
      <c r="I841" t="inlineStr">
        <is>
          <t>No</t>
        </is>
      </c>
      <c r="J841" t="inlineStr">
        <is>
          <t>0</t>
        </is>
      </c>
      <c r="K841" t="inlineStr">
        <is>
          <t>Farges, Albert, 1848-1926.</t>
        </is>
      </c>
      <c r="L841" t="inlineStr">
        <is>
          <t>New York : Benziger Bros. [1927]</t>
        </is>
      </c>
      <c r="M841" t="inlineStr">
        <is>
          <t>1927</t>
        </is>
      </c>
      <c r="O841" t="inlineStr">
        <is>
          <t>eng</t>
        </is>
      </c>
      <c r="P841" t="inlineStr">
        <is>
          <t>nyu</t>
        </is>
      </c>
      <c r="R841" t="inlineStr">
        <is>
          <t xml:space="preserve">BV </t>
        </is>
      </c>
      <c r="S841" t="n">
        <v>4</v>
      </c>
      <c r="T841" t="n">
        <v>4</v>
      </c>
      <c r="U841" t="inlineStr">
        <is>
          <t>2007-07-23</t>
        </is>
      </c>
      <c r="V841" t="inlineStr">
        <is>
          <t>2007-07-23</t>
        </is>
      </c>
      <c r="W841" t="inlineStr">
        <is>
          <t>1992-03-16</t>
        </is>
      </c>
      <c r="X841" t="inlineStr">
        <is>
          <t>1992-03-16</t>
        </is>
      </c>
      <c r="Y841" t="n">
        <v>28</v>
      </c>
      <c r="Z841" t="n">
        <v>28</v>
      </c>
      <c r="AA841" t="n">
        <v>61</v>
      </c>
      <c r="AB841" t="n">
        <v>1</v>
      </c>
      <c r="AC841" t="n">
        <v>1</v>
      </c>
      <c r="AD841" t="n">
        <v>9</v>
      </c>
      <c r="AE841" t="n">
        <v>15</v>
      </c>
      <c r="AF841" t="n">
        <v>2</v>
      </c>
      <c r="AG841" t="n">
        <v>3</v>
      </c>
      <c r="AH841" t="n">
        <v>2</v>
      </c>
      <c r="AI841" t="n">
        <v>6</v>
      </c>
      <c r="AJ841" t="n">
        <v>7</v>
      </c>
      <c r="AK841" t="n">
        <v>10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HYPERLINK("https://creighton-primo.hosted.exlibrisgroup.com/primo-explore/search?tab=default_tab&amp;search_scope=EVERYTHING&amp;vid=01CRU&amp;lang=en_US&amp;offset=0&amp;query=any,contains,991004557579702656","Catalog Record")</f>
        <v/>
      </c>
      <c r="AT841">
        <f>HYPERLINK("http://www.worldcat.org/oclc/3974116","WorldCat Record")</f>
        <v/>
      </c>
      <c r="AU841" t="inlineStr">
        <is>
          <t>1409541:eng</t>
        </is>
      </c>
      <c r="AV841" t="inlineStr">
        <is>
          <t>3974116</t>
        </is>
      </c>
      <c r="AW841" t="inlineStr">
        <is>
          <t>991004557579702656</t>
        </is>
      </c>
      <c r="AX841" t="inlineStr">
        <is>
          <t>991004557579702656</t>
        </is>
      </c>
      <c r="AY841" t="inlineStr">
        <is>
          <t>2266621240002656</t>
        </is>
      </c>
      <c r="AZ841" t="inlineStr">
        <is>
          <t>BOOK</t>
        </is>
      </c>
      <c r="BC841" t="inlineStr">
        <is>
          <t>32285000969831</t>
        </is>
      </c>
      <c r="BD841" t="inlineStr">
        <is>
          <t>893247718</t>
        </is>
      </c>
    </row>
    <row r="842">
      <c r="A842" t="inlineStr">
        <is>
          <t>No</t>
        </is>
      </c>
      <c r="B842" t="inlineStr">
        <is>
          <t>BV5031 .G6 1938</t>
        </is>
      </c>
      <c r="C842" t="inlineStr">
        <is>
          <t>0                      BV 5031000G  6           1938</t>
        </is>
      </c>
      <c r="D842" t="inlineStr">
        <is>
          <t>An introduction to the study of ascetical and mystical theology : the substance of seventeen lectures given at Heythrop college, Chipping Norton, Oxon / by Alban Goodier.</t>
        </is>
      </c>
      <c r="F842" t="inlineStr">
        <is>
          <t>No</t>
        </is>
      </c>
      <c r="G842" t="inlineStr">
        <is>
          <t>1</t>
        </is>
      </c>
      <c r="H842" t="inlineStr">
        <is>
          <t>No</t>
        </is>
      </c>
      <c r="I842" t="inlineStr">
        <is>
          <t>No</t>
        </is>
      </c>
      <c r="J842" t="inlineStr">
        <is>
          <t>0</t>
        </is>
      </c>
      <c r="K842" t="inlineStr">
        <is>
          <t>Goodier, Alban, 1869-1939.</t>
        </is>
      </c>
      <c r="L842" t="inlineStr">
        <is>
          <t>London : Burns, Oates &amp; Washbourne, ltd. ; Milwaukee : Bruce Publ. Co., [1938]</t>
        </is>
      </c>
      <c r="M842" t="inlineStr">
        <is>
          <t>1938</t>
        </is>
      </c>
      <c r="O842" t="inlineStr">
        <is>
          <t>eng</t>
        </is>
      </c>
      <c r="P842" t="inlineStr">
        <is>
          <t>___</t>
        </is>
      </c>
      <c r="R842" t="inlineStr">
        <is>
          <t xml:space="preserve">BV </t>
        </is>
      </c>
      <c r="S842" t="n">
        <v>8</v>
      </c>
      <c r="T842" t="n">
        <v>8</v>
      </c>
      <c r="U842" t="inlineStr">
        <is>
          <t>2002-06-03</t>
        </is>
      </c>
      <c r="V842" t="inlineStr">
        <is>
          <t>2002-06-03</t>
        </is>
      </c>
      <c r="W842" t="inlineStr">
        <is>
          <t>1992-03-16</t>
        </is>
      </c>
      <c r="X842" t="inlineStr">
        <is>
          <t>1992-03-16</t>
        </is>
      </c>
      <c r="Y842" t="n">
        <v>106</v>
      </c>
      <c r="Z842" t="n">
        <v>86</v>
      </c>
      <c r="AA842" t="n">
        <v>222</v>
      </c>
      <c r="AB842" t="n">
        <v>3</v>
      </c>
      <c r="AC842" t="n">
        <v>4</v>
      </c>
      <c r="AD842" t="n">
        <v>12</v>
      </c>
      <c r="AE842" t="n">
        <v>28</v>
      </c>
      <c r="AF842" t="n">
        <v>3</v>
      </c>
      <c r="AG842" t="n">
        <v>10</v>
      </c>
      <c r="AH842" t="n">
        <v>3</v>
      </c>
      <c r="AI842" t="n">
        <v>5</v>
      </c>
      <c r="AJ842" t="n">
        <v>10</v>
      </c>
      <c r="AK842" t="n">
        <v>22</v>
      </c>
      <c r="AL842" t="n">
        <v>1</v>
      </c>
      <c r="AM842" t="n">
        <v>1</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HYPERLINK("https://creighton-primo.hosted.exlibrisgroup.com/primo-explore/search?tab=default_tab&amp;search_scope=EVERYTHING&amp;vid=01CRU&amp;lang=en_US&amp;offset=0&amp;query=any,contains,991003422719702656","Catalog Record")</f>
        <v/>
      </c>
      <c r="AT842">
        <f>HYPERLINK("http://www.worldcat.org/oclc/963621","WorldCat Record")</f>
        <v/>
      </c>
      <c r="AU842" t="inlineStr">
        <is>
          <t>1916587:eng</t>
        </is>
      </c>
      <c r="AV842" t="inlineStr">
        <is>
          <t>963621</t>
        </is>
      </c>
      <c r="AW842" t="inlineStr">
        <is>
          <t>991003422719702656</t>
        </is>
      </c>
      <c r="AX842" t="inlineStr">
        <is>
          <t>991003422719702656</t>
        </is>
      </c>
      <c r="AY842" t="inlineStr">
        <is>
          <t>2260113270002656</t>
        </is>
      </c>
      <c r="AZ842" t="inlineStr">
        <is>
          <t>BOOK</t>
        </is>
      </c>
      <c r="BC842" t="inlineStr">
        <is>
          <t>32285000969849</t>
        </is>
      </c>
      <c r="BD842" t="inlineStr">
        <is>
          <t>893592506</t>
        </is>
      </c>
    </row>
    <row r="843">
      <c r="A843" t="inlineStr">
        <is>
          <t>No</t>
        </is>
      </c>
      <c r="B843" t="inlineStr">
        <is>
          <t>BV5031 .P3 1955</t>
        </is>
      </c>
      <c r="C843" t="inlineStr">
        <is>
          <t>0                      BV 5031000P  3           1955</t>
        </is>
      </c>
      <c r="D843" t="inlineStr">
        <is>
          <t>The ascetical life / by Pascal P. Parente.</t>
        </is>
      </c>
      <c r="F843" t="inlineStr">
        <is>
          <t>No</t>
        </is>
      </c>
      <c r="G843" t="inlineStr">
        <is>
          <t>1</t>
        </is>
      </c>
      <c r="H843" t="inlineStr">
        <is>
          <t>No</t>
        </is>
      </c>
      <c r="I843" t="inlineStr">
        <is>
          <t>No</t>
        </is>
      </c>
      <c r="J843" t="inlineStr">
        <is>
          <t>0</t>
        </is>
      </c>
      <c r="K843" t="inlineStr">
        <is>
          <t>Parente, Pascal P., 1890-1971.</t>
        </is>
      </c>
      <c r="L843" t="inlineStr">
        <is>
          <t>St. Louis : Herder, [1955]</t>
        </is>
      </c>
      <c r="M843" t="inlineStr">
        <is>
          <t>1955</t>
        </is>
      </c>
      <c r="N843" t="inlineStr">
        <is>
          <t>Rev. ed.</t>
        </is>
      </c>
      <c r="O843" t="inlineStr">
        <is>
          <t>eng</t>
        </is>
      </c>
      <c r="P843" t="inlineStr">
        <is>
          <t>___</t>
        </is>
      </c>
      <c r="R843" t="inlineStr">
        <is>
          <t xml:space="preserve">BV </t>
        </is>
      </c>
      <c r="S843" t="n">
        <v>9</v>
      </c>
      <c r="T843" t="n">
        <v>9</v>
      </c>
      <c r="U843" t="inlineStr">
        <is>
          <t>2002-06-03</t>
        </is>
      </c>
      <c r="V843" t="inlineStr">
        <is>
          <t>2002-06-03</t>
        </is>
      </c>
      <c r="W843" t="inlineStr">
        <is>
          <t>1992-03-16</t>
        </is>
      </c>
      <c r="X843" t="inlineStr">
        <is>
          <t>1992-03-16</t>
        </is>
      </c>
      <c r="Y843" t="n">
        <v>40</v>
      </c>
      <c r="Z843" t="n">
        <v>37</v>
      </c>
      <c r="AA843" t="n">
        <v>166</v>
      </c>
      <c r="AB843" t="n">
        <v>3</v>
      </c>
      <c r="AC843" t="n">
        <v>3</v>
      </c>
      <c r="AD843" t="n">
        <v>2</v>
      </c>
      <c r="AE843" t="n">
        <v>30</v>
      </c>
      <c r="AF843" t="n">
        <v>1</v>
      </c>
      <c r="AG843" t="n">
        <v>11</v>
      </c>
      <c r="AH843" t="n">
        <v>0</v>
      </c>
      <c r="AI843" t="n">
        <v>8</v>
      </c>
      <c r="AJ843" t="n">
        <v>2</v>
      </c>
      <c r="AK843" t="n">
        <v>22</v>
      </c>
      <c r="AL843" t="n">
        <v>0</v>
      </c>
      <c r="AM843" t="n">
        <v>0</v>
      </c>
      <c r="AN843" t="n">
        <v>0</v>
      </c>
      <c r="AO843" t="n">
        <v>0</v>
      </c>
      <c r="AP843" t="inlineStr">
        <is>
          <t>No</t>
        </is>
      </c>
      <c r="AQ843" t="inlineStr">
        <is>
          <t>Yes</t>
        </is>
      </c>
      <c r="AR843">
        <f>HYPERLINK("http://catalog.hathitrust.org/Record/102661864","HathiTrust Record")</f>
        <v/>
      </c>
      <c r="AS843">
        <f>HYPERLINK("https://creighton-primo.hosted.exlibrisgroup.com/primo-explore/search?tab=default_tab&amp;search_scope=EVERYTHING&amp;vid=01CRU&amp;lang=en_US&amp;offset=0&amp;query=any,contains,991003638689702656","Catalog Record")</f>
        <v/>
      </c>
      <c r="AT843">
        <f>HYPERLINK("http://www.worldcat.org/oclc/1233894","WorldCat Record")</f>
        <v/>
      </c>
      <c r="AU843" t="inlineStr">
        <is>
          <t>2135999:eng</t>
        </is>
      </c>
      <c r="AV843" t="inlineStr">
        <is>
          <t>1233894</t>
        </is>
      </c>
      <c r="AW843" t="inlineStr">
        <is>
          <t>991003638689702656</t>
        </is>
      </c>
      <c r="AX843" t="inlineStr">
        <is>
          <t>991003638689702656</t>
        </is>
      </c>
      <c r="AY843" t="inlineStr">
        <is>
          <t>2262114400002656</t>
        </is>
      </c>
      <c r="AZ843" t="inlineStr">
        <is>
          <t>BOOK</t>
        </is>
      </c>
      <c r="BC843" t="inlineStr">
        <is>
          <t>32285000969880</t>
        </is>
      </c>
      <c r="BD843" t="inlineStr">
        <is>
          <t>893598787</t>
        </is>
      </c>
    </row>
    <row r="844">
      <c r="A844" t="inlineStr">
        <is>
          <t>No</t>
        </is>
      </c>
      <c r="B844" t="inlineStr">
        <is>
          <t>BV5034 .S32 1924</t>
        </is>
      </c>
      <c r="C844" t="inlineStr">
        <is>
          <t>0                      BV 5034000S  32          1924</t>
        </is>
      </c>
      <c r="D844" t="inlineStr">
        <is>
          <t>The Directorium asceticum, or, Guide to the spiritual life / by John Baptist Scaramelli ; with preface by His Eminence the Most Rev. Cardinal Archbishop Manning.</t>
        </is>
      </c>
      <c r="E844" t="inlineStr">
        <is>
          <t>V.1</t>
        </is>
      </c>
      <c r="F844" t="inlineStr">
        <is>
          <t>Yes</t>
        </is>
      </c>
      <c r="G844" t="inlineStr">
        <is>
          <t>1</t>
        </is>
      </c>
      <c r="H844" t="inlineStr">
        <is>
          <t>No</t>
        </is>
      </c>
      <c r="I844" t="inlineStr">
        <is>
          <t>No</t>
        </is>
      </c>
      <c r="J844" t="inlineStr">
        <is>
          <t>0</t>
        </is>
      </c>
      <c r="K844" t="inlineStr">
        <is>
          <t>Scaramelli, Giovanni Battista, 1687-1752.</t>
        </is>
      </c>
      <c r="L844" t="inlineStr">
        <is>
          <t>London : Burns, Oates &amp; Washbourne, 1924.</t>
        </is>
      </c>
      <c r="M844" t="inlineStr">
        <is>
          <t>1924</t>
        </is>
      </c>
      <c r="N844" t="inlineStr">
        <is>
          <t>8th ed.</t>
        </is>
      </c>
      <c r="O844" t="inlineStr">
        <is>
          <t>eng</t>
        </is>
      </c>
      <c r="P844" t="inlineStr">
        <is>
          <t>enk</t>
        </is>
      </c>
      <c r="R844" t="inlineStr">
        <is>
          <t xml:space="preserve">BV </t>
        </is>
      </c>
      <c r="S844" t="n">
        <v>1</v>
      </c>
      <c r="T844" t="n">
        <v>4</v>
      </c>
      <c r="U844" t="inlineStr">
        <is>
          <t>2003-06-23</t>
        </is>
      </c>
      <c r="V844" t="inlineStr">
        <is>
          <t>2003-06-23</t>
        </is>
      </c>
      <c r="W844" t="inlineStr">
        <is>
          <t>1992-03-16</t>
        </is>
      </c>
      <c r="X844" t="inlineStr">
        <is>
          <t>1992-03-16</t>
        </is>
      </c>
      <c r="Y844" t="n">
        <v>30</v>
      </c>
      <c r="Z844" t="n">
        <v>29</v>
      </c>
      <c r="AA844" t="n">
        <v>52</v>
      </c>
      <c r="AB844" t="n">
        <v>1</v>
      </c>
      <c r="AC844" t="n">
        <v>1</v>
      </c>
      <c r="AD844" t="n">
        <v>4</v>
      </c>
      <c r="AE844" t="n">
        <v>10</v>
      </c>
      <c r="AF844" t="n">
        <v>1</v>
      </c>
      <c r="AG844" t="n">
        <v>3</v>
      </c>
      <c r="AH844" t="n">
        <v>1</v>
      </c>
      <c r="AI844" t="n">
        <v>2</v>
      </c>
      <c r="AJ844" t="n">
        <v>4</v>
      </c>
      <c r="AK844" t="n">
        <v>9</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HYPERLINK("https://creighton-primo.hosted.exlibrisgroup.com/primo-explore/search?tab=default_tab&amp;search_scope=EVERYTHING&amp;vid=01CRU&amp;lang=en_US&amp;offset=0&amp;query=any,contains,991005230509702656","Catalog Record")</f>
        <v/>
      </c>
      <c r="AT844">
        <f>HYPERLINK("http://www.worldcat.org/oclc/8315668","WorldCat Record")</f>
        <v/>
      </c>
      <c r="AU844" t="inlineStr">
        <is>
          <t>10792894459:eng</t>
        </is>
      </c>
      <c r="AV844" t="inlineStr">
        <is>
          <t>8315668</t>
        </is>
      </c>
      <c r="AW844" t="inlineStr">
        <is>
          <t>991005230509702656</t>
        </is>
      </c>
      <c r="AX844" t="inlineStr">
        <is>
          <t>991005230509702656</t>
        </is>
      </c>
      <c r="AY844" t="inlineStr">
        <is>
          <t>2272170070002656</t>
        </is>
      </c>
      <c r="AZ844" t="inlineStr">
        <is>
          <t>BOOK</t>
        </is>
      </c>
      <c r="BC844" t="inlineStr">
        <is>
          <t>32285000969963</t>
        </is>
      </c>
      <c r="BD844" t="inlineStr">
        <is>
          <t>893808042</t>
        </is>
      </c>
    </row>
    <row r="845">
      <c r="A845" t="inlineStr">
        <is>
          <t>No</t>
        </is>
      </c>
      <c r="B845" t="inlineStr">
        <is>
          <t>BV5034 .S32 1924</t>
        </is>
      </c>
      <c r="C845" t="inlineStr">
        <is>
          <t>0                      BV 5034000S  32          1924</t>
        </is>
      </c>
      <c r="D845" t="inlineStr">
        <is>
          <t>The Directorium asceticum, or, Guide to the spiritual life / by John Baptist Scaramelli ; with preface by His Eminence the Most Rev. Cardinal Archbishop Manning.</t>
        </is>
      </c>
      <c r="E845" t="inlineStr">
        <is>
          <t>V.2</t>
        </is>
      </c>
      <c r="F845" t="inlineStr">
        <is>
          <t>Yes</t>
        </is>
      </c>
      <c r="G845" t="inlineStr">
        <is>
          <t>1</t>
        </is>
      </c>
      <c r="H845" t="inlineStr">
        <is>
          <t>No</t>
        </is>
      </c>
      <c r="I845" t="inlineStr">
        <is>
          <t>No</t>
        </is>
      </c>
      <c r="J845" t="inlineStr">
        <is>
          <t>0</t>
        </is>
      </c>
      <c r="K845" t="inlineStr">
        <is>
          <t>Scaramelli, Giovanni Battista, 1687-1752.</t>
        </is>
      </c>
      <c r="L845" t="inlineStr">
        <is>
          <t>London : Burns, Oates &amp; Washbourne, 1924.</t>
        </is>
      </c>
      <c r="M845" t="inlineStr">
        <is>
          <t>1924</t>
        </is>
      </c>
      <c r="N845" t="inlineStr">
        <is>
          <t>8th ed.</t>
        </is>
      </c>
      <c r="O845" t="inlineStr">
        <is>
          <t>eng</t>
        </is>
      </c>
      <c r="P845" t="inlineStr">
        <is>
          <t>enk</t>
        </is>
      </c>
      <c r="R845" t="inlineStr">
        <is>
          <t xml:space="preserve">BV </t>
        </is>
      </c>
      <c r="S845" t="n">
        <v>1</v>
      </c>
      <c r="T845" t="n">
        <v>4</v>
      </c>
      <c r="U845" t="inlineStr">
        <is>
          <t>2003-06-23</t>
        </is>
      </c>
      <c r="V845" t="inlineStr">
        <is>
          <t>2003-06-23</t>
        </is>
      </c>
      <c r="W845" t="inlineStr">
        <is>
          <t>1992-03-16</t>
        </is>
      </c>
      <c r="X845" t="inlineStr">
        <is>
          <t>1992-03-16</t>
        </is>
      </c>
      <c r="Y845" t="n">
        <v>30</v>
      </c>
      <c r="Z845" t="n">
        <v>29</v>
      </c>
      <c r="AA845" t="n">
        <v>52</v>
      </c>
      <c r="AB845" t="n">
        <v>1</v>
      </c>
      <c r="AC845" t="n">
        <v>1</v>
      </c>
      <c r="AD845" t="n">
        <v>4</v>
      </c>
      <c r="AE845" t="n">
        <v>10</v>
      </c>
      <c r="AF845" t="n">
        <v>1</v>
      </c>
      <c r="AG845" t="n">
        <v>3</v>
      </c>
      <c r="AH845" t="n">
        <v>1</v>
      </c>
      <c r="AI845" t="n">
        <v>2</v>
      </c>
      <c r="AJ845" t="n">
        <v>4</v>
      </c>
      <c r="AK845" t="n">
        <v>9</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HYPERLINK("https://creighton-primo.hosted.exlibrisgroup.com/primo-explore/search?tab=default_tab&amp;search_scope=EVERYTHING&amp;vid=01CRU&amp;lang=en_US&amp;offset=0&amp;query=any,contains,991005230509702656","Catalog Record")</f>
        <v/>
      </c>
      <c r="AT845">
        <f>HYPERLINK("http://www.worldcat.org/oclc/8315668","WorldCat Record")</f>
        <v/>
      </c>
      <c r="AU845" t="inlineStr">
        <is>
          <t>10792894459:eng</t>
        </is>
      </c>
      <c r="AV845" t="inlineStr">
        <is>
          <t>8315668</t>
        </is>
      </c>
      <c r="AW845" t="inlineStr">
        <is>
          <t>991005230509702656</t>
        </is>
      </c>
      <c r="AX845" t="inlineStr">
        <is>
          <t>991005230509702656</t>
        </is>
      </c>
      <c r="AY845" t="inlineStr">
        <is>
          <t>2272170070002656</t>
        </is>
      </c>
      <c r="AZ845" t="inlineStr">
        <is>
          <t>BOOK</t>
        </is>
      </c>
      <c r="BC845" t="inlineStr">
        <is>
          <t>32285000969971</t>
        </is>
      </c>
      <c r="BD845" t="inlineStr">
        <is>
          <t>893777069</t>
        </is>
      </c>
    </row>
    <row r="846">
      <c r="A846" t="inlineStr">
        <is>
          <t>No</t>
        </is>
      </c>
      <c r="B846" t="inlineStr">
        <is>
          <t>BV5034 .S32 1924</t>
        </is>
      </c>
      <c r="C846" t="inlineStr">
        <is>
          <t>0                      BV 5034000S  32          1924</t>
        </is>
      </c>
      <c r="D846" t="inlineStr">
        <is>
          <t>The Directorium asceticum, or, Guide to the spiritual life / by John Baptist Scaramelli ; with preface by His Eminence the Most Rev. Cardinal Archbishop Manning.</t>
        </is>
      </c>
      <c r="E846" t="inlineStr">
        <is>
          <t>V.4</t>
        </is>
      </c>
      <c r="F846" t="inlineStr">
        <is>
          <t>Yes</t>
        </is>
      </c>
      <c r="G846" t="inlineStr">
        <is>
          <t>1</t>
        </is>
      </c>
      <c r="H846" t="inlineStr">
        <is>
          <t>No</t>
        </is>
      </c>
      <c r="I846" t="inlineStr">
        <is>
          <t>No</t>
        </is>
      </c>
      <c r="J846" t="inlineStr">
        <is>
          <t>0</t>
        </is>
      </c>
      <c r="K846" t="inlineStr">
        <is>
          <t>Scaramelli, Giovanni Battista, 1687-1752.</t>
        </is>
      </c>
      <c r="L846" t="inlineStr">
        <is>
          <t>London : Burns, Oates &amp; Washbourne, 1924.</t>
        </is>
      </c>
      <c r="M846" t="inlineStr">
        <is>
          <t>1924</t>
        </is>
      </c>
      <c r="N846" t="inlineStr">
        <is>
          <t>8th ed.</t>
        </is>
      </c>
      <c r="O846" t="inlineStr">
        <is>
          <t>eng</t>
        </is>
      </c>
      <c r="P846" t="inlineStr">
        <is>
          <t>enk</t>
        </is>
      </c>
      <c r="R846" t="inlineStr">
        <is>
          <t xml:space="preserve">BV </t>
        </is>
      </c>
      <c r="S846" t="n">
        <v>1</v>
      </c>
      <c r="T846" t="n">
        <v>4</v>
      </c>
      <c r="U846" t="inlineStr">
        <is>
          <t>2003-06-23</t>
        </is>
      </c>
      <c r="V846" t="inlineStr">
        <is>
          <t>2003-06-23</t>
        </is>
      </c>
      <c r="W846" t="inlineStr">
        <is>
          <t>1992-03-16</t>
        </is>
      </c>
      <c r="X846" t="inlineStr">
        <is>
          <t>1992-03-16</t>
        </is>
      </c>
      <c r="Y846" t="n">
        <v>30</v>
      </c>
      <c r="Z846" t="n">
        <v>29</v>
      </c>
      <c r="AA846" t="n">
        <v>52</v>
      </c>
      <c r="AB846" t="n">
        <v>1</v>
      </c>
      <c r="AC846" t="n">
        <v>1</v>
      </c>
      <c r="AD846" t="n">
        <v>4</v>
      </c>
      <c r="AE846" t="n">
        <v>10</v>
      </c>
      <c r="AF846" t="n">
        <v>1</v>
      </c>
      <c r="AG846" t="n">
        <v>3</v>
      </c>
      <c r="AH846" t="n">
        <v>1</v>
      </c>
      <c r="AI846" t="n">
        <v>2</v>
      </c>
      <c r="AJ846" t="n">
        <v>4</v>
      </c>
      <c r="AK846" t="n">
        <v>9</v>
      </c>
      <c r="AL846" t="n">
        <v>0</v>
      </c>
      <c r="AM846" t="n">
        <v>0</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HYPERLINK("https://creighton-primo.hosted.exlibrisgroup.com/primo-explore/search?tab=default_tab&amp;search_scope=EVERYTHING&amp;vid=01CRU&amp;lang=en_US&amp;offset=0&amp;query=any,contains,991005230509702656","Catalog Record")</f>
        <v/>
      </c>
      <c r="AT846">
        <f>HYPERLINK("http://www.worldcat.org/oclc/8315668","WorldCat Record")</f>
        <v/>
      </c>
      <c r="AU846" t="inlineStr">
        <is>
          <t>10792894459:eng</t>
        </is>
      </c>
      <c r="AV846" t="inlineStr">
        <is>
          <t>8315668</t>
        </is>
      </c>
      <c r="AW846" t="inlineStr">
        <is>
          <t>991005230509702656</t>
        </is>
      </c>
      <c r="AX846" t="inlineStr">
        <is>
          <t>991005230509702656</t>
        </is>
      </c>
      <c r="AY846" t="inlineStr">
        <is>
          <t>2272170070002656</t>
        </is>
      </c>
      <c r="AZ846" t="inlineStr">
        <is>
          <t>BOOK</t>
        </is>
      </c>
      <c r="BC846" t="inlineStr">
        <is>
          <t>32285000969997</t>
        </is>
      </c>
      <c r="BD846" t="inlineStr">
        <is>
          <t>893777067</t>
        </is>
      </c>
    </row>
    <row r="847">
      <c r="A847" t="inlineStr">
        <is>
          <t>No</t>
        </is>
      </c>
      <c r="B847" t="inlineStr">
        <is>
          <t>BV5034 .S32 1924</t>
        </is>
      </c>
      <c r="C847" t="inlineStr">
        <is>
          <t>0                      BV 5034000S  32          1924</t>
        </is>
      </c>
      <c r="D847" t="inlineStr">
        <is>
          <t>The Directorium asceticum, or, Guide to the spiritual life / by John Baptist Scaramelli ; with preface by His Eminence the Most Rev. Cardinal Archbishop Manning.</t>
        </is>
      </c>
      <c r="E847" t="inlineStr">
        <is>
          <t>V.3</t>
        </is>
      </c>
      <c r="F847" t="inlineStr">
        <is>
          <t>Yes</t>
        </is>
      </c>
      <c r="G847" t="inlineStr">
        <is>
          <t>1</t>
        </is>
      </c>
      <c r="H847" t="inlineStr">
        <is>
          <t>No</t>
        </is>
      </c>
      <c r="I847" t="inlineStr">
        <is>
          <t>No</t>
        </is>
      </c>
      <c r="J847" t="inlineStr">
        <is>
          <t>0</t>
        </is>
      </c>
      <c r="K847" t="inlineStr">
        <is>
          <t>Scaramelli, Giovanni Battista, 1687-1752.</t>
        </is>
      </c>
      <c r="L847" t="inlineStr">
        <is>
          <t>London : Burns, Oates &amp; Washbourne, 1924.</t>
        </is>
      </c>
      <c r="M847" t="inlineStr">
        <is>
          <t>1924</t>
        </is>
      </c>
      <c r="N847" t="inlineStr">
        <is>
          <t>8th ed.</t>
        </is>
      </c>
      <c r="O847" t="inlineStr">
        <is>
          <t>eng</t>
        </is>
      </c>
      <c r="P847" t="inlineStr">
        <is>
          <t>enk</t>
        </is>
      </c>
      <c r="R847" t="inlineStr">
        <is>
          <t xml:space="preserve">BV </t>
        </is>
      </c>
      <c r="S847" t="n">
        <v>1</v>
      </c>
      <c r="T847" t="n">
        <v>4</v>
      </c>
      <c r="U847" t="inlineStr">
        <is>
          <t>2003-06-23</t>
        </is>
      </c>
      <c r="V847" t="inlineStr">
        <is>
          <t>2003-06-23</t>
        </is>
      </c>
      <c r="W847" t="inlineStr">
        <is>
          <t>1992-03-16</t>
        </is>
      </c>
      <c r="X847" t="inlineStr">
        <is>
          <t>1992-03-16</t>
        </is>
      </c>
      <c r="Y847" t="n">
        <v>30</v>
      </c>
      <c r="Z847" t="n">
        <v>29</v>
      </c>
      <c r="AA847" t="n">
        <v>52</v>
      </c>
      <c r="AB847" t="n">
        <v>1</v>
      </c>
      <c r="AC847" t="n">
        <v>1</v>
      </c>
      <c r="AD847" t="n">
        <v>4</v>
      </c>
      <c r="AE847" t="n">
        <v>10</v>
      </c>
      <c r="AF847" t="n">
        <v>1</v>
      </c>
      <c r="AG847" t="n">
        <v>3</v>
      </c>
      <c r="AH847" t="n">
        <v>1</v>
      </c>
      <c r="AI847" t="n">
        <v>2</v>
      </c>
      <c r="AJ847" t="n">
        <v>4</v>
      </c>
      <c r="AK847" t="n">
        <v>9</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HYPERLINK("https://creighton-primo.hosted.exlibrisgroup.com/primo-explore/search?tab=default_tab&amp;search_scope=EVERYTHING&amp;vid=01CRU&amp;lang=en_US&amp;offset=0&amp;query=any,contains,991005230509702656","Catalog Record")</f>
        <v/>
      </c>
      <c r="AT847">
        <f>HYPERLINK("http://www.worldcat.org/oclc/8315668","WorldCat Record")</f>
        <v/>
      </c>
      <c r="AU847" t="inlineStr">
        <is>
          <t>10792894459:eng</t>
        </is>
      </c>
      <c r="AV847" t="inlineStr">
        <is>
          <t>8315668</t>
        </is>
      </c>
      <c r="AW847" t="inlineStr">
        <is>
          <t>991005230509702656</t>
        </is>
      </c>
      <c r="AX847" t="inlineStr">
        <is>
          <t>991005230509702656</t>
        </is>
      </c>
      <c r="AY847" t="inlineStr">
        <is>
          <t>2272170070002656</t>
        </is>
      </c>
      <c r="AZ847" t="inlineStr">
        <is>
          <t>BOOK</t>
        </is>
      </c>
      <c r="BC847" t="inlineStr">
        <is>
          <t>32285000969989</t>
        </is>
      </c>
      <c r="BD847" t="inlineStr">
        <is>
          <t>893777068</t>
        </is>
      </c>
    </row>
    <row r="848">
      <c r="A848" t="inlineStr">
        <is>
          <t>No</t>
        </is>
      </c>
      <c r="B848" t="inlineStr">
        <is>
          <t>BV5045 .B88 1943</t>
        </is>
      </c>
      <c r="C848" t="inlineStr">
        <is>
          <t>0                      BV 5045000B  88          1943</t>
        </is>
      </c>
      <c r="D848" t="inlineStr">
        <is>
          <t>Be ye perfect / by William Butterfield.</t>
        </is>
      </c>
      <c r="F848" t="inlineStr">
        <is>
          <t>No</t>
        </is>
      </c>
      <c r="G848" t="inlineStr">
        <is>
          <t>1</t>
        </is>
      </c>
      <c r="H848" t="inlineStr">
        <is>
          <t>No</t>
        </is>
      </c>
      <c r="I848" t="inlineStr">
        <is>
          <t>No</t>
        </is>
      </c>
      <c r="J848" t="inlineStr">
        <is>
          <t>0</t>
        </is>
      </c>
      <c r="K848" t="inlineStr">
        <is>
          <t>Butterfield, William.</t>
        </is>
      </c>
      <c r="L848" t="inlineStr">
        <is>
          <t>New York : Spiritual Book Associates, 1943.</t>
        </is>
      </c>
      <c r="M848" t="inlineStr">
        <is>
          <t>1943</t>
        </is>
      </c>
      <c r="O848" t="inlineStr">
        <is>
          <t>eng</t>
        </is>
      </c>
      <c r="P848" t="inlineStr">
        <is>
          <t>___</t>
        </is>
      </c>
      <c r="R848" t="inlineStr">
        <is>
          <t xml:space="preserve">BV </t>
        </is>
      </c>
      <c r="S848" t="n">
        <v>1</v>
      </c>
      <c r="T848" t="n">
        <v>1</v>
      </c>
      <c r="U848" t="inlineStr">
        <is>
          <t>1995-04-05</t>
        </is>
      </c>
      <c r="V848" t="inlineStr">
        <is>
          <t>1995-04-05</t>
        </is>
      </c>
      <c r="W848" t="inlineStr">
        <is>
          <t>1992-03-16</t>
        </is>
      </c>
      <c r="X848" t="inlineStr">
        <is>
          <t>1992-03-16</t>
        </is>
      </c>
      <c r="Y848" t="n">
        <v>16</v>
      </c>
      <c r="Z848" t="n">
        <v>14</v>
      </c>
      <c r="AA848" t="n">
        <v>59</v>
      </c>
      <c r="AB848" t="n">
        <v>2</v>
      </c>
      <c r="AC848" t="n">
        <v>2</v>
      </c>
      <c r="AD848" t="n">
        <v>4</v>
      </c>
      <c r="AE848" t="n">
        <v>13</v>
      </c>
      <c r="AF848" t="n">
        <v>1</v>
      </c>
      <c r="AG848" t="n">
        <v>5</v>
      </c>
      <c r="AH848" t="n">
        <v>1</v>
      </c>
      <c r="AI848" t="n">
        <v>3</v>
      </c>
      <c r="AJ848" t="n">
        <v>4</v>
      </c>
      <c r="AK848" t="n">
        <v>11</v>
      </c>
      <c r="AL848" t="n">
        <v>0</v>
      </c>
      <c r="AM848" t="n">
        <v>0</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HYPERLINK("https://creighton-primo.hosted.exlibrisgroup.com/primo-explore/search?tab=default_tab&amp;search_scope=EVERYTHING&amp;vid=01CRU&amp;lang=en_US&amp;offset=0&amp;query=any,contains,991002573819702656","Catalog Record")</f>
        <v/>
      </c>
      <c r="AT848">
        <f>HYPERLINK("http://www.worldcat.org/oclc/374420","WorldCat Record")</f>
        <v/>
      </c>
      <c r="AU848" t="inlineStr">
        <is>
          <t>422769920:eng</t>
        </is>
      </c>
      <c r="AV848" t="inlineStr">
        <is>
          <t>374420</t>
        </is>
      </c>
      <c r="AW848" t="inlineStr">
        <is>
          <t>991002573819702656</t>
        </is>
      </c>
      <c r="AX848" t="inlineStr">
        <is>
          <t>991002573819702656</t>
        </is>
      </c>
      <c r="AY848" t="inlineStr">
        <is>
          <t>2262415560002656</t>
        </is>
      </c>
      <c r="AZ848" t="inlineStr">
        <is>
          <t>BOOK</t>
        </is>
      </c>
      <c r="BC848" t="inlineStr">
        <is>
          <t>32285001015055</t>
        </is>
      </c>
      <c r="BD848" t="inlineStr">
        <is>
          <t>893233126</t>
        </is>
      </c>
    </row>
    <row r="849">
      <c r="A849" t="inlineStr">
        <is>
          <t>No</t>
        </is>
      </c>
      <c r="B849" t="inlineStr">
        <is>
          <t>BV5052 .F73</t>
        </is>
      </c>
      <c r="C849" t="inlineStr">
        <is>
          <t>0                      BV 5052000F  73</t>
        </is>
      </c>
      <c r="D849" t="inlineStr">
        <is>
          <t>Teachings and counsels of St. Francis Xavier : gathered from his letters / St. Francis Xavier.</t>
        </is>
      </c>
      <c r="F849" t="inlineStr">
        <is>
          <t>No</t>
        </is>
      </c>
      <c r="G849" t="inlineStr">
        <is>
          <t>1</t>
        </is>
      </c>
      <c r="H849" t="inlineStr">
        <is>
          <t>No</t>
        </is>
      </c>
      <c r="I849" t="inlineStr">
        <is>
          <t>No</t>
        </is>
      </c>
      <c r="J849" t="inlineStr">
        <is>
          <t>0</t>
        </is>
      </c>
      <c r="K849" t="inlineStr">
        <is>
          <t>Francis Xavier, Saint, 1506-1552.</t>
        </is>
      </c>
      <c r="L849" t="inlineStr">
        <is>
          <t>London, Burns &amp; Oates, 1888.</t>
        </is>
      </c>
      <c r="M849" t="inlineStr">
        <is>
          <t>1888</t>
        </is>
      </c>
      <c r="O849" t="inlineStr">
        <is>
          <t>eng</t>
        </is>
      </c>
      <c r="P849" t="inlineStr">
        <is>
          <t>enk</t>
        </is>
      </c>
      <c r="Q849" t="inlineStr">
        <is>
          <t>Quarterly series ; v. 66</t>
        </is>
      </c>
      <c r="R849" t="inlineStr">
        <is>
          <t xml:space="preserve">BV </t>
        </is>
      </c>
      <c r="S849" t="n">
        <v>2</v>
      </c>
      <c r="T849" t="n">
        <v>2</v>
      </c>
      <c r="U849" t="inlineStr">
        <is>
          <t>2010-03-14</t>
        </is>
      </c>
      <c r="V849" t="inlineStr">
        <is>
          <t>2010-03-14</t>
        </is>
      </c>
      <c r="W849" t="inlineStr">
        <is>
          <t>1992-03-16</t>
        </is>
      </c>
      <c r="X849" t="inlineStr">
        <is>
          <t>1992-03-16</t>
        </is>
      </c>
      <c r="Y849" t="n">
        <v>32</v>
      </c>
      <c r="Z849" t="n">
        <v>25</v>
      </c>
      <c r="AA849" t="n">
        <v>35</v>
      </c>
      <c r="AB849" t="n">
        <v>2</v>
      </c>
      <c r="AC849" t="n">
        <v>2</v>
      </c>
      <c r="AD849" t="n">
        <v>11</v>
      </c>
      <c r="AE849" t="n">
        <v>11</v>
      </c>
      <c r="AF849" t="n">
        <v>2</v>
      </c>
      <c r="AG849" t="n">
        <v>2</v>
      </c>
      <c r="AH849" t="n">
        <v>2</v>
      </c>
      <c r="AI849" t="n">
        <v>2</v>
      </c>
      <c r="AJ849" t="n">
        <v>10</v>
      </c>
      <c r="AK849" t="n">
        <v>10</v>
      </c>
      <c r="AL849" t="n">
        <v>0</v>
      </c>
      <c r="AM849" t="n">
        <v>0</v>
      </c>
      <c r="AN849" t="n">
        <v>0</v>
      </c>
      <c r="AO849" t="n">
        <v>0</v>
      </c>
      <c r="AP849" t="inlineStr">
        <is>
          <t>Yes</t>
        </is>
      </c>
      <c r="AQ849" t="inlineStr">
        <is>
          <t>No</t>
        </is>
      </c>
      <c r="AR849">
        <f>HYPERLINK("http://catalog.hathitrust.org/Record/102160003","HathiTrust Record")</f>
        <v/>
      </c>
      <c r="AS849">
        <f>HYPERLINK("https://creighton-primo.hosted.exlibrisgroup.com/primo-explore/search?tab=default_tab&amp;search_scope=EVERYTHING&amp;vid=01CRU&amp;lang=en_US&amp;offset=0&amp;query=any,contains,991004823179702656","Catalog Record")</f>
        <v/>
      </c>
      <c r="AT849">
        <f>HYPERLINK("http://www.worldcat.org/oclc/5338109","WorldCat Record")</f>
        <v/>
      </c>
      <c r="AU849" t="inlineStr">
        <is>
          <t>17908184:eng</t>
        </is>
      </c>
      <c r="AV849" t="inlineStr">
        <is>
          <t>5338109</t>
        </is>
      </c>
      <c r="AW849" t="inlineStr">
        <is>
          <t>991004823179702656</t>
        </is>
      </c>
      <c r="AX849" t="inlineStr">
        <is>
          <t>991004823179702656</t>
        </is>
      </c>
      <c r="AY849" t="inlineStr">
        <is>
          <t>2268074460002656</t>
        </is>
      </c>
      <c r="AZ849" t="inlineStr">
        <is>
          <t>BOOK</t>
        </is>
      </c>
      <c r="BC849" t="inlineStr">
        <is>
          <t>32285001015063</t>
        </is>
      </c>
      <c r="BD849" t="inlineStr">
        <is>
          <t>893600272</t>
        </is>
      </c>
    </row>
    <row r="850">
      <c r="A850" t="inlineStr">
        <is>
          <t>No</t>
        </is>
      </c>
      <c r="B850" t="inlineStr">
        <is>
          <t>BV5053 .D68 1995</t>
        </is>
      </c>
      <c r="C850" t="inlineStr">
        <is>
          <t>0                      BV 5053000D  68          1995</t>
        </is>
      </c>
      <c r="D850" t="inlineStr">
        <is>
          <t>Group spiritual direction : community for discernment / Rose Mary Dougherty.</t>
        </is>
      </c>
      <c r="F850" t="inlineStr">
        <is>
          <t>No</t>
        </is>
      </c>
      <c r="G850" t="inlineStr">
        <is>
          <t>1</t>
        </is>
      </c>
      <c r="H850" t="inlineStr">
        <is>
          <t>No</t>
        </is>
      </c>
      <c r="I850" t="inlineStr">
        <is>
          <t>No</t>
        </is>
      </c>
      <c r="J850" t="inlineStr">
        <is>
          <t>0</t>
        </is>
      </c>
      <c r="K850" t="inlineStr">
        <is>
          <t>Dougherty, Rose Mary, 1939-</t>
        </is>
      </c>
      <c r="L850" t="inlineStr">
        <is>
          <t>New York : Paulist Press, c1995.</t>
        </is>
      </c>
      <c r="M850" t="inlineStr">
        <is>
          <t>1995</t>
        </is>
      </c>
      <c r="O850" t="inlineStr">
        <is>
          <t>eng</t>
        </is>
      </c>
      <c r="P850" t="inlineStr">
        <is>
          <t>nyu</t>
        </is>
      </c>
      <c r="R850" t="inlineStr">
        <is>
          <t xml:space="preserve">BV </t>
        </is>
      </c>
      <c r="S850" t="n">
        <v>4</v>
      </c>
      <c r="T850" t="n">
        <v>4</v>
      </c>
      <c r="U850" t="inlineStr">
        <is>
          <t>2008-07-10</t>
        </is>
      </c>
      <c r="V850" t="inlineStr">
        <is>
          <t>2008-07-10</t>
        </is>
      </c>
      <c r="W850" t="inlineStr">
        <is>
          <t>1996-07-08</t>
        </is>
      </c>
      <c r="X850" t="inlineStr">
        <is>
          <t>1996-07-08</t>
        </is>
      </c>
      <c r="Y850" t="n">
        <v>188</v>
      </c>
      <c r="Z850" t="n">
        <v>150</v>
      </c>
      <c r="AA850" t="n">
        <v>161</v>
      </c>
      <c r="AB850" t="n">
        <v>1</v>
      </c>
      <c r="AC850" t="n">
        <v>1</v>
      </c>
      <c r="AD850" t="n">
        <v>14</v>
      </c>
      <c r="AE850" t="n">
        <v>14</v>
      </c>
      <c r="AF850" t="n">
        <v>4</v>
      </c>
      <c r="AG850" t="n">
        <v>4</v>
      </c>
      <c r="AH850" t="n">
        <v>2</v>
      </c>
      <c r="AI850" t="n">
        <v>2</v>
      </c>
      <c r="AJ850" t="n">
        <v>12</v>
      </c>
      <c r="AK850" t="n">
        <v>12</v>
      </c>
      <c r="AL850" t="n">
        <v>0</v>
      </c>
      <c r="AM850" t="n">
        <v>0</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HYPERLINK("https://creighton-primo.hosted.exlibrisgroup.com/primo-explore/search?tab=default_tab&amp;search_scope=EVERYTHING&amp;vid=01CRU&amp;lang=en_US&amp;offset=0&amp;query=any,contains,991002506739702656","Catalog Record")</f>
        <v/>
      </c>
      <c r="AT850">
        <f>HYPERLINK("http://www.worldcat.org/oclc/32590380","WorldCat Record")</f>
        <v/>
      </c>
      <c r="AU850" t="inlineStr">
        <is>
          <t>1151707841:eng</t>
        </is>
      </c>
      <c r="AV850" t="inlineStr">
        <is>
          <t>32590380</t>
        </is>
      </c>
      <c r="AW850" t="inlineStr">
        <is>
          <t>991002506739702656</t>
        </is>
      </c>
      <c r="AX850" t="inlineStr">
        <is>
          <t>991002506739702656</t>
        </is>
      </c>
      <c r="AY850" t="inlineStr">
        <is>
          <t>2272243930002656</t>
        </is>
      </c>
      <c r="AZ850" t="inlineStr">
        <is>
          <t>BOOK</t>
        </is>
      </c>
      <c r="BB850" t="inlineStr">
        <is>
          <t>9780809135981</t>
        </is>
      </c>
      <c r="BC850" t="inlineStr">
        <is>
          <t>32285002146180</t>
        </is>
      </c>
      <c r="BD850" t="inlineStr">
        <is>
          <t>893433964</t>
        </is>
      </c>
    </row>
    <row r="851">
      <c r="A851" t="inlineStr">
        <is>
          <t>No</t>
        </is>
      </c>
      <c r="B851" t="inlineStr">
        <is>
          <t>BV5053 .E38</t>
        </is>
      </c>
      <c r="C851" t="inlineStr">
        <is>
          <t>0                      BV 5053000E  38</t>
        </is>
      </c>
      <c r="D851" t="inlineStr">
        <is>
          <t>Spiritual friend / Tilden H. Edwards.</t>
        </is>
      </c>
      <c r="F851" t="inlineStr">
        <is>
          <t>No</t>
        </is>
      </c>
      <c r="G851" t="inlineStr">
        <is>
          <t>1</t>
        </is>
      </c>
      <c r="H851" t="inlineStr">
        <is>
          <t>No</t>
        </is>
      </c>
      <c r="I851" t="inlineStr">
        <is>
          <t>No</t>
        </is>
      </c>
      <c r="J851" t="inlineStr">
        <is>
          <t>0</t>
        </is>
      </c>
      <c r="K851" t="inlineStr">
        <is>
          <t>Edwards, Tilden.</t>
        </is>
      </c>
      <c r="L851" t="inlineStr">
        <is>
          <t>New York : Paulist Press, c1980.</t>
        </is>
      </c>
      <c r="M851" t="inlineStr">
        <is>
          <t>1980</t>
        </is>
      </c>
      <c r="O851" t="inlineStr">
        <is>
          <t>eng</t>
        </is>
      </c>
      <c r="P851" t="inlineStr">
        <is>
          <t>nyu</t>
        </is>
      </c>
      <c r="R851" t="inlineStr">
        <is>
          <t xml:space="preserve">BV </t>
        </is>
      </c>
      <c r="S851" t="n">
        <v>5</v>
      </c>
      <c r="T851" t="n">
        <v>5</v>
      </c>
      <c r="U851" t="inlineStr">
        <is>
          <t>2003-07-11</t>
        </is>
      </c>
      <c r="V851" t="inlineStr">
        <is>
          <t>2003-07-11</t>
        </is>
      </c>
      <c r="W851" t="inlineStr">
        <is>
          <t>1992-03-10</t>
        </is>
      </c>
      <c r="X851" t="inlineStr">
        <is>
          <t>1992-03-10</t>
        </is>
      </c>
      <c r="Y851" t="n">
        <v>354</v>
      </c>
      <c r="Z851" t="n">
        <v>298</v>
      </c>
      <c r="AA851" t="n">
        <v>299</v>
      </c>
      <c r="AB851" t="n">
        <v>2</v>
      </c>
      <c r="AC851" t="n">
        <v>2</v>
      </c>
      <c r="AD851" t="n">
        <v>18</v>
      </c>
      <c r="AE851" t="n">
        <v>18</v>
      </c>
      <c r="AF851" t="n">
        <v>7</v>
      </c>
      <c r="AG851" t="n">
        <v>7</v>
      </c>
      <c r="AH851" t="n">
        <v>3</v>
      </c>
      <c r="AI851" t="n">
        <v>3</v>
      </c>
      <c r="AJ851" t="n">
        <v>13</v>
      </c>
      <c r="AK851" t="n">
        <v>13</v>
      </c>
      <c r="AL851" t="n">
        <v>0</v>
      </c>
      <c r="AM851" t="n">
        <v>0</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HYPERLINK("https://creighton-primo.hosted.exlibrisgroup.com/primo-explore/search?tab=default_tab&amp;search_scope=EVERYTHING&amp;vid=01CRU&amp;lang=en_US&amp;offset=0&amp;query=any,contains,991004993519702656","Catalog Record")</f>
        <v/>
      </c>
      <c r="AT851">
        <f>HYPERLINK("http://www.worldcat.org/oclc/6492351","WorldCat Record")</f>
        <v/>
      </c>
      <c r="AU851" t="inlineStr">
        <is>
          <t>466237:eng</t>
        </is>
      </c>
      <c r="AV851" t="inlineStr">
        <is>
          <t>6492351</t>
        </is>
      </c>
      <c r="AW851" t="inlineStr">
        <is>
          <t>991004993519702656</t>
        </is>
      </c>
      <c r="AX851" t="inlineStr">
        <is>
          <t>991004993519702656</t>
        </is>
      </c>
      <c r="AY851" t="inlineStr">
        <is>
          <t>2264512790002656</t>
        </is>
      </c>
      <c r="AZ851" t="inlineStr">
        <is>
          <t>BOOK</t>
        </is>
      </c>
      <c r="BB851" t="inlineStr">
        <is>
          <t>9780809122882</t>
        </is>
      </c>
      <c r="BC851" t="inlineStr">
        <is>
          <t>32285000996115</t>
        </is>
      </c>
      <c r="BD851" t="inlineStr">
        <is>
          <t>893338352</t>
        </is>
      </c>
    </row>
    <row r="852">
      <c r="A852" t="inlineStr">
        <is>
          <t>No</t>
        </is>
      </c>
      <c r="B852" t="inlineStr">
        <is>
          <t>BV5053 .J63 1982</t>
        </is>
      </c>
      <c r="C852" t="inlineStr">
        <is>
          <t>0                      BV 5053000J  63          1982</t>
        </is>
      </c>
      <c r="D852" t="inlineStr">
        <is>
          <t>Exploring spiritual direction : an essay on Christian friendship / Alan Jones.</t>
        </is>
      </c>
      <c r="F852" t="inlineStr">
        <is>
          <t>No</t>
        </is>
      </c>
      <c r="G852" t="inlineStr">
        <is>
          <t>1</t>
        </is>
      </c>
      <c r="H852" t="inlineStr">
        <is>
          <t>No</t>
        </is>
      </c>
      <c r="I852" t="inlineStr">
        <is>
          <t>No</t>
        </is>
      </c>
      <c r="J852" t="inlineStr">
        <is>
          <t>0</t>
        </is>
      </c>
      <c r="K852" t="inlineStr">
        <is>
          <t>Jones, Alan W., 1940-</t>
        </is>
      </c>
      <c r="L852" t="inlineStr">
        <is>
          <t>New York : Seabury Press, 1982.</t>
        </is>
      </c>
      <c r="M852" t="inlineStr">
        <is>
          <t>1982</t>
        </is>
      </c>
      <c r="O852" t="inlineStr">
        <is>
          <t>eng</t>
        </is>
      </c>
      <c r="P852" t="inlineStr">
        <is>
          <t>nyu</t>
        </is>
      </c>
      <c r="R852" t="inlineStr">
        <is>
          <t xml:space="preserve">BV </t>
        </is>
      </c>
      <c r="S852" t="n">
        <v>4</v>
      </c>
      <c r="T852" t="n">
        <v>4</v>
      </c>
      <c r="U852" t="inlineStr">
        <is>
          <t>1995-07-24</t>
        </is>
      </c>
      <c r="V852" t="inlineStr">
        <is>
          <t>1995-07-24</t>
        </is>
      </c>
      <c r="W852" t="inlineStr">
        <is>
          <t>1992-03-16</t>
        </is>
      </c>
      <c r="X852" t="inlineStr">
        <is>
          <t>1992-03-16</t>
        </is>
      </c>
      <c r="Y852" t="n">
        <v>218</v>
      </c>
      <c r="Z852" t="n">
        <v>172</v>
      </c>
      <c r="AA852" t="n">
        <v>238</v>
      </c>
      <c r="AB852" t="n">
        <v>1</v>
      </c>
      <c r="AC852" t="n">
        <v>2</v>
      </c>
      <c r="AD852" t="n">
        <v>14</v>
      </c>
      <c r="AE852" t="n">
        <v>19</v>
      </c>
      <c r="AF852" t="n">
        <v>4</v>
      </c>
      <c r="AG852" t="n">
        <v>6</v>
      </c>
      <c r="AH852" t="n">
        <v>3</v>
      </c>
      <c r="AI852" t="n">
        <v>4</v>
      </c>
      <c r="AJ852" t="n">
        <v>12</v>
      </c>
      <c r="AK852" t="n">
        <v>16</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HYPERLINK("https://creighton-primo.hosted.exlibrisgroup.com/primo-explore/search?tab=default_tab&amp;search_scope=EVERYTHING&amp;vid=01CRU&amp;lang=en_US&amp;offset=0&amp;query=any,contains,991005179669702656","Catalog Record")</f>
        <v/>
      </c>
      <c r="AT852">
        <f>HYPERLINK("http://www.worldcat.org/oclc/7944708","WorldCat Record")</f>
        <v/>
      </c>
      <c r="AU852" t="inlineStr">
        <is>
          <t>16142148:eng</t>
        </is>
      </c>
      <c r="AV852" t="inlineStr">
        <is>
          <t>7944708</t>
        </is>
      </c>
      <c r="AW852" t="inlineStr">
        <is>
          <t>991005179669702656</t>
        </is>
      </c>
      <c r="AX852" t="inlineStr">
        <is>
          <t>991005179669702656</t>
        </is>
      </c>
      <c r="AY852" t="inlineStr">
        <is>
          <t>2269719130002656</t>
        </is>
      </c>
      <c r="AZ852" t="inlineStr">
        <is>
          <t>BOOK</t>
        </is>
      </c>
      <c r="BB852" t="inlineStr">
        <is>
          <t>9780816405060</t>
        </is>
      </c>
      <c r="BC852" t="inlineStr">
        <is>
          <t>32285001015071</t>
        </is>
      </c>
      <c r="BD852" t="inlineStr">
        <is>
          <t>893902256</t>
        </is>
      </c>
    </row>
    <row r="853">
      <c r="A853" t="inlineStr">
        <is>
          <t>No</t>
        </is>
      </c>
      <c r="B853" t="inlineStr">
        <is>
          <t>BV5053 .L59 2003</t>
        </is>
      </c>
      <c r="C853" t="inlineStr">
        <is>
          <t>0                      BV 5053000L  59          2003</t>
        </is>
      </c>
      <c r="D853" t="inlineStr">
        <is>
          <t>The lived experience of group spiritual direction / edited by Rose Mary Dougherty with Monica Maxon and Lynne Smith ; foreword by Tilden Edwards.</t>
        </is>
      </c>
      <c r="F853" t="inlineStr">
        <is>
          <t>No</t>
        </is>
      </c>
      <c r="G853" t="inlineStr">
        <is>
          <t>1</t>
        </is>
      </c>
      <c r="H853" t="inlineStr">
        <is>
          <t>No</t>
        </is>
      </c>
      <c r="I853" t="inlineStr">
        <is>
          <t>No</t>
        </is>
      </c>
      <c r="J853" t="inlineStr">
        <is>
          <t>0</t>
        </is>
      </c>
      <c r="L853" t="inlineStr">
        <is>
          <t>New York : Paulist Press, c2003.</t>
        </is>
      </c>
      <c r="M853" t="inlineStr">
        <is>
          <t>2003</t>
        </is>
      </c>
      <c r="O853" t="inlineStr">
        <is>
          <t>eng</t>
        </is>
      </c>
      <c r="P853" t="inlineStr">
        <is>
          <t>nyu</t>
        </is>
      </c>
      <c r="R853" t="inlineStr">
        <is>
          <t xml:space="preserve">BV </t>
        </is>
      </c>
      <c r="S853" t="n">
        <v>4</v>
      </c>
      <c r="T853" t="n">
        <v>4</v>
      </c>
      <c r="U853" t="inlineStr">
        <is>
          <t>2008-07-10</t>
        </is>
      </c>
      <c r="V853" t="inlineStr">
        <is>
          <t>2008-07-10</t>
        </is>
      </c>
      <c r="W853" t="inlineStr">
        <is>
          <t>2003-11-06</t>
        </is>
      </c>
      <c r="X853" t="inlineStr">
        <is>
          <t>2003-11-06</t>
        </is>
      </c>
      <c r="Y853" t="n">
        <v>92</v>
      </c>
      <c r="Z853" t="n">
        <v>79</v>
      </c>
      <c r="AA853" t="n">
        <v>79</v>
      </c>
      <c r="AB853" t="n">
        <v>1</v>
      </c>
      <c r="AC853" t="n">
        <v>1</v>
      </c>
      <c r="AD853" t="n">
        <v>8</v>
      </c>
      <c r="AE853" t="n">
        <v>8</v>
      </c>
      <c r="AF853" t="n">
        <v>3</v>
      </c>
      <c r="AG853" t="n">
        <v>3</v>
      </c>
      <c r="AH853" t="n">
        <v>2</v>
      </c>
      <c r="AI853" t="n">
        <v>2</v>
      </c>
      <c r="AJ853" t="n">
        <v>6</v>
      </c>
      <c r="AK853" t="n">
        <v>6</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HYPERLINK("https://creighton-primo.hosted.exlibrisgroup.com/primo-explore/search?tab=default_tab&amp;search_scope=EVERYTHING&amp;vid=01CRU&amp;lang=en_US&amp;offset=0&amp;query=any,contains,991004167309702656","Catalog Record")</f>
        <v/>
      </c>
      <c r="AT853">
        <f>HYPERLINK("http://www.worldcat.org/oclc/52041293","WorldCat Record")</f>
        <v/>
      </c>
      <c r="AU853" t="inlineStr">
        <is>
          <t>704193:eng</t>
        </is>
      </c>
      <c r="AV853" t="inlineStr">
        <is>
          <t>52041293</t>
        </is>
      </c>
      <c r="AW853" t="inlineStr">
        <is>
          <t>991004167309702656</t>
        </is>
      </c>
      <c r="AX853" t="inlineStr">
        <is>
          <t>991004167309702656</t>
        </is>
      </c>
      <c r="AY853" t="inlineStr">
        <is>
          <t>2259042530002656</t>
        </is>
      </c>
      <c r="AZ853" t="inlineStr">
        <is>
          <t>BOOK</t>
        </is>
      </c>
      <c r="BB853" t="inlineStr">
        <is>
          <t>9780809141760</t>
        </is>
      </c>
      <c r="BC853" t="inlineStr">
        <is>
          <t>32285004794805</t>
        </is>
      </c>
      <c r="BD853" t="inlineStr">
        <is>
          <t>893411199</t>
        </is>
      </c>
    </row>
    <row r="854">
      <c r="A854" t="inlineStr">
        <is>
          <t>No</t>
        </is>
      </c>
      <c r="B854" t="inlineStr">
        <is>
          <t>BV5053 .T47 1984</t>
        </is>
      </c>
      <c r="C854" t="inlineStr">
        <is>
          <t>0                      BV 5053000T  47          1984</t>
        </is>
      </c>
      <c r="D854" t="inlineStr">
        <is>
          <t>Spiritual direction / Martin Thornton.</t>
        </is>
      </c>
      <c r="F854" t="inlineStr">
        <is>
          <t>No</t>
        </is>
      </c>
      <c r="G854" t="inlineStr">
        <is>
          <t>1</t>
        </is>
      </c>
      <c r="H854" t="inlineStr">
        <is>
          <t>No</t>
        </is>
      </c>
      <c r="I854" t="inlineStr">
        <is>
          <t>No</t>
        </is>
      </c>
      <c r="J854" t="inlineStr">
        <is>
          <t>0</t>
        </is>
      </c>
      <c r="K854" t="inlineStr">
        <is>
          <t>Thornton, Martin.</t>
        </is>
      </c>
      <c r="L854" t="inlineStr">
        <is>
          <t>[United States] : Cowley, c1984.</t>
        </is>
      </c>
      <c r="M854" t="inlineStr">
        <is>
          <t>1984</t>
        </is>
      </c>
      <c r="O854" t="inlineStr">
        <is>
          <t>eng</t>
        </is>
      </c>
      <c r="P854" t="inlineStr">
        <is>
          <t>xxu</t>
        </is>
      </c>
      <c r="R854" t="inlineStr">
        <is>
          <t xml:space="preserve">BV </t>
        </is>
      </c>
      <c r="S854" t="n">
        <v>3</v>
      </c>
      <c r="T854" t="n">
        <v>3</v>
      </c>
      <c r="U854" t="inlineStr">
        <is>
          <t>2007-07-27</t>
        </is>
      </c>
      <c r="V854" t="inlineStr">
        <is>
          <t>2007-07-27</t>
        </is>
      </c>
      <c r="W854" t="inlineStr">
        <is>
          <t>1992-03-16</t>
        </is>
      </c>
      <c r="X854" t="inlineStr">
        <is>
          <t>1992-03-16</t>
        </is>
      </c>
      <c r="Y854" t="n">
        <v>141</v>
      </c>
      <c r="Z854" t="n">
        <v>124</v>
      </c>
      <c r="AA854" t="n">
        <v>146</v>
      </c>
      <c r="AB854" t="n">
        <v>1</v>
      </c>
      <c r="AC854" t="n">
        <v>1</v>
      </c>
      <c r="AD854" t="n">
        <v>9</v>
      </c>
      <c r="AE854" t="n">
        <v>9</v>
      </c>
      <c r="AF854" t="n">
        <v>2</v>
      </c>
      <c r="AG854" t="n">
        <v>2</v>
      </c>
      <c r="AH854" t="n">
        <v>2</v>
      </c>
      <c r="AI854" t="n">
        <v>2</v>
      </c>
      <c r="AJ854" t="n">
        <v>6</v>
      </c>
      <c r="AK854" t="n">
        <v>6</v>
      </c>
      <c r="AL854" t="n">
        <v>0</v>
      </c>
      <c r="AM854" t="n">
        <v>0</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HYPERLINK("https://creighton-primo.hosted.exlibrisgroup.com/primo-explore/search?tab=default_tab&amp;search_scope=EVERYTHING&amp;vid=01CRU&amp;lang=en_US&amp;offset=0&amp;query=any,contains,991000445129702656","Catalog Record")</f>
        <v/>
      </c>
      <c r="AT854">
        <f>HYPERLINK("http://www.worldcat.org/oclc/10850081","WorldCat Record")</f>
        <v/>
      </c>
      <c r="AU854" t="inlineStr">
        <is>
          <t>3400547:eng</t>
        </is>
      </c>
      <c r="AV854" t="inlineStr">
        <is>
          <t>10850081</t>
        </is>
      </c>
      <c r="AW854" t="inlineStr">
        <is>
          <t>991000445129702656</t>
        </is>
      </c>
      <c r="AX854" t="inlineStr">
        <is>
          <t>991000445129702656</t>
        </is>
      </c>
      <c r="AY854" t="inlineStr">
        <is>
          <t>2268871450002656</t>
        </is>
      </c>
      <c r="AZ854" t="inlineStr">
        <is>
          <t>BOOK</t>
        </is>
      </c>
      <c r="BB854" t="inlineStr">
        <is>
          <t>9780936384177</t>
        </is>
      </c>
      <c r="BC854" t="inlineStr">
        <is>
          <t>32285001015089</t>
        </is>
      </c>
      <c r="BD854" t="inlineStr">
        <is>
          <t>893720688</t>
        </is>
      </c>
    </row>
    <row r="855">
      <c r="A855" t="inlineStr">
        <is>
          <t>No</t>
        </is>
      </c>
      <c r="B855" t="inlineStr">
        <is>
          <t>BV5053 .W74 1982</t>
        </is>
      </c>
      <c r="C855" t="inlineStr">
        <is>
          <t>0                      BV 5053000W  74          1982</t>
        </is>
      </c>
      <c r="D855" t="inlineStr">
        <is>
          <t>Writings on spiritual direction / by great Christian masters ; edited by Jerome M. Neufelder and Mary C. Coelho.</t>
        </is>
      </c>
      <c r="F855" t="inlineStr">
        <is>
          <t>No</t>
        </is>
      </c>
      <c r="G855" t="inlineStr">
        <is>
          <t>1</t>
        </is>
      </c>
      <c r="H855" t="inlineStr">
        <is>
          <t>No</t>
        </is>
      </c>
      <c r="I855" t="inlineStr">
        <is>
          <t>No</t>
        </is>
      </c>
      <c r="J855" t="inlineStr">
        <is>
          <t>0</t>
        </is>
      </c>
      <c r="L855" t="inlineStr">
        <is>
          <t>New York : Seabury Press, c1982.</t>
        </is>
      </c>
      <c r="M855" t="inlineStr">
        <is>
          <t>1982</t>
        </is>
      </c>
      <c r="O855" t="inlineStr">
        <is>
          <t>eng</t>
        </is>
      </c>
      <c r="P855" t="inlineStr">
        <is>
          <t>nyu</t>
        </is>
      </c>
      <c r="R855" t="inlineStr">
        <is>
          <t xml:space="preserve">BV </t>
        </is>
      </c>
      <c r="S855" t="n">
        <v>5</v>
      </c>
      <c r="T855" t="n">
        <v>5</v>
      </c>
      <c r="U855" t="inlineStr">
        <is>
          <t>1999-07-14</t>
        </is>
      </c>
      <c r="V855" t="inlineStr">
        <is>
          <t>1999-07-14</t>
        </is>
      </c>
      <c r="W855" t="inlineStr">
        <is>
          <t>1990-07-30</t>
        </is>
      </c>
      <c r="X855" t="inlineStr">
        <is>
          <t>1990-07-30</t>
        </is>
      </c>
      <c r="Y855" t="n">
        <v>247</v>
      </c>
      <c r="Z855" t="n">
        <v>208</v>
      </c>
      <c r="AA855" t="n">
        <v>208</v>
      </c>
      <c r="AB855" t="n">
        <v>2</v>
      </c>
      <c r="AC855" t="n">
        <v>2</v>
      </c>
      <c r="AD855" t="n">
        <v>17</v>
      </c>
      <c r="AE855" t="n">
        <v>17</v>
      </c>
      <c r="AF855" t="n">
        <v>6</v>
      </c>
      <c r="AG855" t="n">
        <v>6</v>
      </c>
      <c r="AH855" t="n">
        <v>6</v>
      </c>
      <c r="AI855" t="n">
        <v>6</v>
      </c>
      <c r="AJ855" t="n">
        <v>11</v>
      </c>
      <c r="AK855" t="n">
        <v>11</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HYPERLINK("https://creighton-primo.hosted.exlibrisgroup.com/primo-explore/search?tab=default_tab&amp;search_scope=EVERYTHING&amp;vid=01CRU&amp;lang=en_US&amp;offset=0&amp;query=any,contains,991005211149702656","Catalog Record")</f>
        <v/>
      </c>
      <c r="AT855">
        <f>HYPERLINK("http://www.worldcat.org/oclc/8169154","WorldCat Record")</f>
        <v/>
      </c>
      <c r="AU855" t="inlineStr">
        <is>
          <t>2231953574:eng</t>
        </is>
      </c>
      <c r="AV855" t="inlineStr">
        <is>
          <t>8169154</t>
        </is>
      </c>
      <c r="AW855" t="inlineStr">
        <is>
          <t>991005211149702656</t>
        </is>
      </c>
      <c r="AX855" t="inlineStr">
        <is>
          <t>991005211149702656</t>
        </is>
      </c>
      <c r="AY855" t="inlineStr">
        <is>
          <t>2269745240002656</t>
        </is>
      </c>
      <c r="AZ855" t="inlineStr">
        <is>
          <t>BOOK</t>
        </is>
      </c>
      <c r="BB855" t="inlineStr">
        <is>
          <t>9780816424207</t>
        </is>
      </c>
      <c r="BC855" t="inlineStr">
        <is>
          <t>32285000229020</t>
        </is>
      </c>
      <c r="BD855" t="inlineStr">
        <is>
          <t>893625628</t>
        </is>
      </c>
    </row>
    <row r="856">
      <c r="A856" t="inlineStr">
        <is>
          <t>No</t>
        </is>
      </c>
      <c r="B856" t="inlineStr">
        <is>
          <t>BV5068.R4 B46 1993</t>
        </is>
      </c>
      <c r="C856" t="inlineStr">
        <is>
          <t>0                      BV 5068000R  4                  B  46          1993</t>
        </is>
      </c>
      <c r="D856" t="inlineStr">
        <is>
          <t>Rejoice, O my soul : resources for a self-directed retreat / Michelle Bennett.</t>
        </is>
      </c>
      <c r="F856" t="inlineStr">
        <is>
          <t>No</t>
        </is>
      </c>
      <c r="G856" t="inlineStr">
        <is>
          <t>1</t>
        </is>
      </c>
      <c r="H856" t="inlineStr">
        <is>
          <t>No</t>
        </is>
      </c>
      <c r="I856" t="inlineStr">
        <is>
          <t>No</t>
        </is>
      </c>
      <c r="J856" t="inlineStr">
        <is>
          <t>0</t>
        </is>
      </c>
      <c r="K856" t="inlineStr">
        <is>
          <t>Bennett, Michelle, 1946-</t>
        </is>
      </c>
      <c r="L856" t="inlineStr">
        <is>
          <t>New York : Paulist Press, c1993.</t>
        </is>
      </c>
      <c r="M856" t="inlineStr">
        <is>
          <t>1993</t>
        </is>
      </c>
      <c r="O856" t="inlineStr">
        <is>
          <t>eng</t>
        </is>
      </c>
      <c r="P856" t="inlineStr">
        <is>
          <t>nyu</t>
        </is>
      </c>
      <c r="R856" t="inlineStr">
        <is>
          <t xml:space="preserve">BV </t>
        </is>
      </c>
      <c r="S856" t="n">
        <v>7</v>
      </c>
      <c r="T856" t="n">
        <v>7</v>
      </c>
      <c r="U856" t="inlineStr">
        <is>
          <t>1999-07-14</t>
        </is>
      </c>
      <c r="V856" t="inlineStr">
        <is>
          <t>1999-07-14</t>
        </is>
      </c>
      <c r="W856" t="inlineStr">
        <is>
          <t>1994-02-14</t>
        </is>
      </c>
      <c r="X856" t="inlineStr">
        <is>
          <t>1994-02-14</t>
        </is>
      </c>
      <c r="Y856" t="n">
        <v>22</v>
      </c>
      <c r="Z856" t="n">
        <v>20</v>
      </c>
      <c r="AA856" t="n">
        <v>25</v>
      </c>
      <c r="AB856" t="n">
        <v>1</v>
      </c>
      <c r="AC856" t="n">
        <v>1</v>
      </c>
      <c r="AD856" t="n">
        <v>3</v>
      </c>
      <c r="AE856" t="n">
        <v>3</v>
      </c>
      <c r="AF856" t="n">
        <v>0</v>
      </c>
      <c r="AG856" t="n">
        <v>0</v>
      </c>
      <c r="AH856" t="n">
        <v>1</v>
      </c>
      <c r="AI856" t="n">
        <v>1</v>
      </c>
      <c r="AJ856" t="n">
        <v>2</v>
      </c>
      <c r="AK856" t="n">
        <v>2</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HYPERLINK("https://creighton-primo.hosted.exlibrisgroup.com/primo-explore/search?tab=default_tab&amp;search_scope=EVERYTHING&amp;vid=01CRU&amp;lang=en_US&amp;offset=0&amp;query=any,contains,991002197189702656","Catalog Record")</f>
        <v/>
      </c>
      <c r="AT856">
        <f>HYPERLINK("http://www.worldcat.org/oclc/28256094","WorldCat Record")</f>
        <v/>
      </c>
      <c r="AU856" t="inlineStr">
        <is>
          <t>30353109:eng</t>
        </is>
      </c>
      <c r="AV856" t="inlineStr">
        <is>
          <t>28256094</t>
        </is>
      </c>
      <c r="AW856" t="inlineStr">
        <is>
          <t>991002197189702656</t>
        </is>
      </c>
      <c r="AX856" t="inlineStr">
        <is>
          <t>991002197189702656</t>
        </is>
      </c>
      <c r="AY856" t="inlineStr">
        <is>
          <t>2261514300002656</t>
        </is>
      </c>
      <c r="AZ856" t="inlineStr">
        <is>
          <t>BOOK</t>
        </is>
      </c>
      <c r="BB856" t="inlineStr">
        <is>
          <t>9780809134083</t>
        </is>
      </c>
      <c r="BC856" t="inlineStr">
        <is>
          <t>32285001841849</t>
        </is>
      </c>
      <c r="BD856" t="inlineStr">
        <is>
          <t>893798290</t>
        </is>
      </c>
    </row>
    <row r="857">
      <c r="A857" t="inlineStr">
        <is>
          <t>No</t>
        </is>
      </c>
      <c r="B857" t="inlineStr">
        <is>
          <t>BV5068.R4 C57 1994</t>
        </is>
      </c>
      <c r="C857" t="inlineStr">
        <is>
          <t>0                      BV 5068000R  4                  C  57          1994</t>
        </is>
      </c>
      <c r="D857" t="inlineStr">
        <is>
          <t>Sitting still / Patricia Hart Clifford.</t>
        </is>
      </c>
      <c r="F857" t="inlineStr">
        <is>
          <t>No</t>
        </is>
      </c>
      <c r="G857" t="inlineStr">
        <is>
          <t>1</t>
        </is>
      </c>
      <c r="H857" t="inlineStr">
        <is>
          <t>No</t>
        </is>
      </c>
      <c r="I857" t="inlineStr">
        <is>
          <t>No</t>
        </is>
      </c>
      <c r="J857" t="inlineStr">
        <is>
          <t>0</t>
        </is>
      </c>
      <c r="K857" t="inlineStr">
        <is>
          <t>Clifford, Patricia Hart, 1944-</t>
        </is>
      </c>
      <c r="L857" t="inlineStr">
        <is>
          <t>New York, NY : Paulist Press, c1994.</t>
        </is>
      </c>
      <c r="M857" t="inlineStr">
        <is>
          <t>1994</t>
        </is>
      </c>
      <c r="O857" t="inlineStr">
        <is>
          <t>eng</t>
        </is>
      </c>
      <c r="P857" t="inlineStr">
        <is>
          <t>nyu</t>
        </is>
      </c>
      <c r="R857" t="inlineStr">
        <is>
          <t xml:space="preserve">BV </t>
        </is>
      </c>
      <c r="S857" t="n">
        <v>9</v>
      </c>
      <c r="T857" t="n">
        <v>9</v>
      </c>
      <c r="U857" t="inlineStr">
        <is>
          <t>2006-05-01</t>
        </is>
      </c>
      <c r="V857" t="inlineStr">
        <is>
          <t>2006-05-01</t>
        </is>
      </c>
      <c r="W857" t="inlineStr">
        <is>
          <t>1994-11-14</t>
        </is>
      </c>
      <c r="X857" t="inlineStr">
        <is>
          <t>1994-11-14</t>
        </is>
      </c>
      <c r="Y857" t="n">
        <v>119</v>
      </c>
      <c r="Z857" t="n">
        <v>109</v>
      </c>
      <c r="AA857" t="n">
        <v>109</v>
      </c>
      <c r="AB857" t="n">
        <v>1</v>
      </c>
      <c r="AC857" t="n">
        <v>1</v>
      </c>
      <c r="AD857" t="n">
        <v>8</v>
      </c>
      <c r="AE857" t="n">
        <v>8</v>
      </c>
      <c r="AF857" t="n">
        <v>2</v>
      </c>
      <c r="AG857" t="n">
        <v>2</v>
      </c>
      <c r="AH857" t="n">
        <v>2</v>
      </c>
      <c r="AI857" t="n">
        <v>2</v>
      </c>
      <c r="AJ857" t="n">
        <v>5</v>
      </c>
      <c r="AK857" t="n">
        <v>5</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HYPERLINK("https://creighton-primo.hosted.exlibrisgroup.com/primo-explore/search?tab=default_tab&amp;search_scope=EVERYTHING&amp;vid=01CRU&amp;lang=en_US&amp;offset=0&amp;query=any,contains,991002328109702656","Catalog Record")</f>
        <v/>
      </c>
      <c r="AT857">
        <f>HYPERLINK("http://www.worldcat.org/oclc/30318796","WorldCat Record")</f>
        <v/>
      </c>
      <c r="AU857" t="inlineStr">
        <is>
          <t>32264183:eng</t>
        </is>
      </c>
      <c r="AV857" t="inlineStr">
        <is>
          <t>30318796</t>
        </is>
      </c>
      <c r="AW857" t="inlineStr">
        <is>
          <t>991002328109702656</t>
        </is>
      </c>
      <c r="AX857" t="inlineStr">
        <is>
          <t>991002328109702656</t>
        </is>
      </c>
      <c r="AY857" t="inlineStr">
        <is>
          <t>2265359240002656</t>
        </is>
      </c>
      <c r="AZ857" t="inlineStr">
        <is>
          <t>BOOK</t>
        </is>
      </c>
      <c r="BB857" t="inlineStr">
        <is>
          <t>9780809104703</t>
        </is>
      </c>
      <c r="BC857" t="inlineStr">
        <is>
          <t>32285001971000</t>
        </is>
      </c>
      <c r="BD857" t="inlineStr">
        <is>
          <t>893251092</t>
        </is>
      </c>
    </row>
    <row r="858">
      <c r="A858" t="inlineStr">
        <is>
          <t>No</t>
        </is>
      </c>
      <c r="B858" t="inlineStr">
        <is>
          <t>BV5068.R4 Y37 1991</t>
        </is>
      </c>
      <c r="C858" t="inlineStr">
        <is>
          <t>0                      BV 5068000R  4                  Y  37          1991</t>
        </is>
      </c>
      <c r="D858" t="inlineStr">
        <is>
          <t>Time for God : guidelines for a full-time or part-time retreat / by Edward Yarnold.</t>
        </is>
      </c>
      <c r="F858" t="inlineStr">
        <is>
          <t>No</t>
        </is>
      </c>
      <c r="G858" t="inlineStr">
        <is>
          <t>1</t>
        </is>
      </c>
      <c r="H858" t="inlineStr">
        <is>
          <t>No</t>
        </is>
      </c>
      <c r="I858" t="inlineStr">
        <is>
          <t>No</t>
        </is>
      </c>
      <c r="J858" t="inlineStr">
        <is>
          <t>0</t>
        </is>
      </c>
      <c r="K858" t="inlineStr">
        <is>
          <t>Yarnold, Edward.</t>
        </is>
      </c>
      <c r="L858" t="inlineStr">
        <is>
          <t>London : Collins, 1991, c1990</t>
        </is>
      </c>
      <c r="M858" t="inlineStr">
        <is>
          <t>1991</t>
        </is>
      </c>
      <c r="O858" t="inlineStr">
        <is>
          <t>eng</t>
        </is>
      </c>
      <c r="P858" t="inlineStr">
        <is>
          <t>enk</t>
        </is>
      </c>
      <c r="R858" t="inlineStr">
        <is>
          <t xml:space="preserve">BV </t>
        </is>
      </c>
      <c r="S858" t="n">
        <v>1</v>
      </c>
      <c r="T858" t="n">
        <v>1</v>
      </c>
      <c r="U858" t="inlineStr">
        <is>
          <t>2005-04-13</t>
        </is>
      </c>
      <c r="V858" t="inlineStr">
        <is>
          <t>2005-04-13</t>
        </is>
      </c>
      <c r="W858" t="inlineStr">
        <is>
          <t>2005-04-13</t>
        </is>
      </c>
      <c r="X858" t="inlineStr">
        <is>
          <t>2005-04-13</t>
        </is>
      </c>
      <c r="Y858" t="n">
        <v>5</v>
      </c>
      <c r="Z858" t="n">
        <v>3</v>
      </c>
      <c r="AA858" t="n">
        <v>40</v>
      </c>
      <c r="AB858" t="n">
        <v>1</v>
      </c>
      <c r="AC858" t="n">
        <v>1</v>
      </c>
      <c r="AD858" t="n">
        <v>0</v>
      </c>
      <c r="AE858" t="n">
        <v>4</v>
      </c>
      <c r="AF858" t="n">
        <v>0</v>
      </c>
      <c r="AG858" t="n">
        <v>2</v>
      </c>
      <c r="AH858" t="n">
        <v>0</v>
      </c>
      <c r="AI858" t="n">
        <v>0</v>
      </c>
      <c r="AJ858" t="n">
        <v>0</v>
      </c>
      <c r="AK858" t="n">
        <v>3</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HYPERLINK("https://creighton-primo.hosted.exlibrisgroup.com/primo-explore/search?tab=default_tab&amp;search_scope=EVERYTHING&amp;vid=01CRU&amp;lang=en_US&amp;offset=0&amp;query=any,contains,991004529429702656","Catalog Record")</f>
        <v/>
      </c>
      <c r="AT858">
        <f>HYPERLINK("http://www.worldcat.org/oclc/46453666","WorldCat Record")</f>
        <v/>
      </c>
      <c r="AU858" t="inlineStr">
        <is>
          <t>24523161:eng</t>
        </is>
      </c>
      <c r="AV858" t="inlineStr">
        <is>
          <t>46453666</t>
        </is>
      </c>
      <c r="AW858" t="inlineStr">
        <is>
          <t>991004529429702656</t>
        </is>
      </c>
      <c r="AX858" t="inlineStr">
        <is>
          <t>991004529429702656</t>
        </is>
      </c>
      <c r="AY858" t="inlineStr">
        <is>
          <t>2259291860002656</t>
        </is>
      </c>
      <c r="AZ858" t="inlineStr">
        <is>
          <t>BOOK</t>
        </is>
      </c>
      <c r="BC858" t="inlineStr">
        <is>
          <t>32285005030316</t>
        </is>
      </c>
      <c r="BD858" t="inlineStr">
        <is>
          <t>893801058</t>
        </is>
      </c>
    </row>
    <row r="859">
      <c r="A859" t="inlineStr">
        <is>
          <t>No</t>
        </is>
      </c>
      <c r="B859" t="inlineStr">
        <is>
          <t>BV5072 .H79</t>
        </is>
      </c>
      <c r="C859" t="inlineStr">
        <is>
          <t>0                      BV 5072000H  79</t>
        </is>
      </c>
      <c r="D859" t="inlineStr">
        <is>
          <t>Six opuscules spirituels / par Hugues de Saint-Victor. Introd., texte critique, traduction et notes par Roger Baron.</t>
        </is>
      </c>
      <c r="F859" t="inlineStr">
        <is>
          <t>No</t>
        </is>
      </c>
      <c r="G859" t="inlineStr">
        <is>
          <t>1</t>
        </is>
      </c>
      <c r="H859" t="inlineStr">
        <is>
          <t>No</t>
        </is>
      </c>
      <c r="I859" t="inlineStr">
        <is>
          <t>No</t>
        </is>
      </c>
      <c r="J859" t="inlineStr">
        <is>
          <t>0</t>
        </is>
      </c>
      <c r="K859" t="inlineStr">
        <is>
          <t>Hugh, of Saint-Victor, 1096?-1141.</t>
        </is>
      </c>
      <c r="L859" t="inlineStr">
        <is>
          <t>Paris : Éditions du Cerf, 1969.</t>
        </is>
      </c>
      <c r="M859" t="inlineStr">
        <is>
          <t>1969</t>
        </is>
      </c>
      <c r="O859" t="inlineStr">
        <is>
          <t>fre</t>
        </is>
      </c>
      <c r="P859" t="inlineStr">
        <is>
          <t>___</t>
        </is>
      </c>
      <c r="Q859" t="inlineStr">
        <is>
          <t>Série des textes monastiques d'Occident; 28</t>
        </is>
      </c>
      <c r="R859" t="inlineStr">
        <is>
          <t xml:space="preserve">BV </t>
        </is>
      </c>
      <c r="S859" t="n">
        <v>1</v>
      </c>
      <c r="T859" t="n">
        <v>1</v>
      </c>
      <c r="U859" t="inlineStr">
        <is>
          <t>1993-06-29</t>
        </is>
      </c>
      <c r="V859" t="inlineStr">
        <is>
          <t>1993-06-29</t>
        </is>
      </c>
      <c r="W859" t="inlineStr">
        <is>
          <t>1992-03-16</t>
        </is>
      </c>
      <c r="X859" t="inlineStr">
        <is>
          <t>1992-03-16</t>
        </is>
      </c>
      <c r="Y859" t="n">
        <v>219</v>
      </c>
      <c r="Z859" t="n">
        <v>146</v>
      </c>
      <c r="AA859" t="n">
        <v>149</v>
      </c>
      <c r="AB859" t="n">
        <v>2</v>
      </c>
      <c r="AC859" t="n">
        <v>2</v>
      </c>
      <c r="AD859" t="n">
        <v>17</v>
      </c>
      <c r="AE859" t="n">
        <v>17</v>
      </c>
      <c r="AF859" t="n">
        <v>4</v>
      </c>
      <c r="AG859" t="n">
        <v>4</v>
      </c>
      <c r="AH859" t="n">
        <v>4</v>
      </c>
      <c r="AI859" t="n">
        <v>4</v>
      </c>
      <c r="AJ859" t="n">
        <v>13</v>
      </c>
      <c r="AK859" t="n">
        <v>13</v>
      </c>
      <c r="AL859" t="n">
        <v>1</v>
      </c>
      <c r="AM859" t="n">
        <v>1</v>
      </c>
      <c r="AN859" t="n">
        <v>0</v>
      </c>
      <c r="AO859" t="n">
        <v>0</v>
      </c>
      <c r="AP859" t="inlineStr">
        <is>
          <t>No</t>
        </is>
      </c>
      <c r="AQ859" t="inlineStr">
        <is>
          <t>Yes</t>
        </is>
      </c>
      <c r="AR859">
        <f>HYPERLINK("http://catalog.hathitrust.org/Record/001415014","HathiTrust Record")</f>
        <v/>
      </c>
      <c r="AS859">
        <f>HYPERLINK("https://creighton-primo.hosted.exlibrisgroup.com/primo-explore/search?tab=default_tab&amp;search_scope=EVERYTHING&amp;vid=01CRU&amp;lang=en_US&amp;offset=0&amp;query=any,contains,991003590259702656","Catalog Record")</f>
        <v/>
      </c>
      <c r="AT859">
        <f>HYPERLINK("http://www.worldcat.org/oclc/1172741","WorldCat Record")</f>
        <v/>
      </c>
      <c r="AU859" t="inlineStr">
        <is>
          <t>2114633:fre</t>
        </is>
      </c>
      <c r="AV859" t="inlineStr">
        <is>
          <t>1172741</t>
        </is>
      </c>
      <c r="AW859" t="inlineStr">
        <is>
          <t>991003590259702656</t>
        </is>
      </c>
      <c r="AX859" t="inlineStr">
        <is>
          <t>991003590259702656</t>
        </is>
      </c>
      <c r="AY859" t="inlineStr">
        <is>
          <t>2267147180002656</t>
        </is>
      </c>
      <c r="AZ859" t="inlineStr">
        <is>
          <t>BOOK</t>
        </is>
      </c>
      <c r="BC859" t="inlineStr">
        <is>
          <t>32285001015105</t>
        </is>
      </c>
      <c r="BD859" t="inlineStr">
        <is>
          <t>893258598</t>
        </is>
      </c>
    </row>
    <row r="860">
      <c r="A860" t="inlineStr">
        <is>
          <t>No</t>
        </is>
      </c>
      <c r="B860" t="inlineStr">
        <is>
          <t>BV5072 .J23 1977</t>
        </is>
      </c>
      <c r="C860" t="inlineStr">
        <is>
          <t>0                      BV 5072000J  23          1977</t>
        </is>
      </c>
      <c r="D860" t="inlineStr">
        <is>
          <t>An anthology of Christian mysticism / edited with biographical notes by Paul de Jaegher ; translated by Donald Attwater and others.</t>
        </is>
      </c>
      <c r="F860" t="inlineStr">
        <is>
          <t>No</t>
        </is>
      </c>
      <c r="G860" t="inlineStr">
        <is>
          <t>1</t>
        </is>
      </c>
      <c r="H860" t="inlineStr">
        <is>
          <t>No</t>
        </is>
      </c>
      <c r="I860" t="inlineStr">
        <is>
          <t>No</t>
        </is>
      </c>
      <c r="J860" t="inlineStr">
        <is>
          <t>0</t>
        </is>
      </c>
      <c r="K860" t="inlineStr">
        <is>
          <t>Jaegher, Paul de, editor.</t>
        </is>
      </c>
      <c r="L860" t="inlineStr">
        <is>
          <t>Springfield, Ill. : Templegate Publishers, 1977.</t>
        </is>
      </c>
      <c r="M860" t="inlineStr">
        <is>
          <t>1977</t>
        </is>
      </c>
      <c r="O860" t="inlineStr">
        <is>
          <t>eng</t>
        </is>
      </c>
      <c r="P860" t="inlineStr">
        <is>
          <t>ilu</t>
        </is>
      </c>
      <c r="R860" t="inlineStr">
        <is>
          <t xml:space="preserve">BV </t>
        </is>
      </c>
      <c r="S860" t="n">
        <v>9</v>
      </c>
      <c r="T860" t="n">
        <v>9</v>
      </c>
      <c r="U860" t="inlineStr">
        <is>
          <t>2005-04-06</t>
        </is>
      </c>
      <c r="V860" t="inlineStr">
        <is>
          <t>2005-04-06</t>
        </is>
      </c>
      <c r="W860" t="inlineStr">
        <is>
          <t>1992-03-16</t>
        </is>
      </c>
      <c r="X860" t="inlineStr">
        <is>
          <t>1992-03-16</t>
        </is>
      </c>
      <c r="Y860" t="n">
        <v>164</v>
      </c>
      <c r="Z860" t="n">
        <v>149</v>
      </c>
      <c r="AA860" t="n">
        <v>151</v>
      </c>
      <c r="AB860" t="n">
        <v>1</v>
      </c>
      <c r="AC860" t="n">
        <v>1</v>
      </c>
      <c r="AD860" t="n">
        <v>15</v>
      </c>
      <c r="AE860" t="n">
        <v>16</v>
      </c>
      <c r="AF860" t="n">
        <v>4</v>
      </c>
      <c r="AG860" t="n">
        <v>4</v>
      </c>
      <c r="AH860" t="n">
        <v>6</v>
      </c>
      <c r="AI860" t="n">
        <v>6</v>
      </c>
      <c r="AJ860" t="n">
        <v>10</v>
      </c>
      <c r="AK860" t="n">
        <v>11</v>
      </c>
      <c r="AL860" t="n">
        <v>0</v>
      </c>
      <c r="AM860" t="n">
        <v>0</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HYPERLINK("https://creighton-primo.hosted.exlibrisgroup.com/primo-explore/search?tab=default_tab&amp;search_scope=EVERYTHING&amp;vid=01CRU&amp;lang=en_US&amp;offset=0&amp;query=any,contains,991004405549702656","Catalog Record")</f>
        <v/>
      </c>
      <c r="AT860">
        <f>HYPERLINK("http://www.worldcat.org/oclc/3320733","WorldCat Record")</f>
        <v/>
      </c>
      <c r="AU860" t="inlineStr">
        <is>
          <t>3901687589:eng</t>
        </is>
      </c>
      <c r="AV860" t="inlineStr">
        <is>
          <t>3320733</t>
        </is>
      </c>
      <c r="AW860" t="inlineStr">
        <is>
          <t>991004405549702656</t>
        </is>
      </c>
      <c r="AX860" t="inlineStr">
        <is>
          <t>991004405549702656</t>
        </is>
      </c>
      <c r="AY860" t="inlineStr">
        <is>
          <t>2272702580002656</t>
        </is>
      </c>
      <c r="AZ860" t="inlineStr">
        <is>
          <t>BOOK</t>
        </is>
      </c>
      <c r="BB860" t="inlineStr">
        <is>
          <t>9780872430730</t>
        </is>
      </c>
      <c r="BC860" t="inlineStr">
        <is>
          <t>32285001015113</t>
        </is>
      </c>
      <c r="BD860" t="inlineStr">
        <is>
          <t>893888664</t>
        </is>
      </c>
    </row>
    <row r="861">
      <c r="A861" t="inlineStr">
        <is>
          <t>No</t>
        </is>
      </c>
      <c r="B861" t="inlineStr">
        <is>
          <t>BV5072 .P4</t>
        </is>
      </c>
      <c r="C861" t="inlineStr">
        <is>
          <t>0                      BV 5072000P  4</t>
        </is>
      </c>
      <c r="D861" t="inlineStr">
        <is>
          <t>Late medieval mysticism / edited by Ray C. Petry.</t>
        </is>
      </c>
      <c r="F861" t="inlineStr">
        <is>
          <t>No</t>
        </is>
      </c>
      <c r="G861" t="inlineStr">
        <is>
          <t>1</t>
        </is>
      </c>
      <c r="H861" t="inlineStr">
        <is>
          <t>No</t>
        </is>
      </c>
      <c r="I861" t="inlineStr">
        <is>
          <t>No</t>
        </is>
      </c>
      <c r="J861" t="inlineStr">
        <is>
          <t>0</t>
        </is>
      </c>
      <c r="K861" t="inlineStr">
        <is>
          <t>Petry, Ray C., 1903-1992, editor.</t>
        </is>
      </c>
      <c r="L861" t="inlineStr">
        <is>
          <t>Philadelphia : Westminster Press, [1957]</t>
        </is>
      </c>
      <c r="M861" t="inlineStr">
        <is>
          <t>1957</t>
        </is>
      </c>
      <c r="O861" t="inlineStr">
        <is>
          <t>eng</t>
        </is>
      </c>
      <c r="P861" t="inlineStr">
        <is>
          <t>___</t>
        </is>
      </c>
      <c r="Q861" t="inlineStr">
        <is>
          <t>The Library of Christian classics, v. 13</t>
        </is>
      </c>
      <c r="R861" t="inlineStr">
        <is>
          <t xml:space="preserve">BV </t>
        </is>
      </c>
      <c r="S861" t="n">
        <v>4</v>
      </c>
      <c r="T861" t="n">
        <v>4</v>
      </c>
      <c r="U861" t="inlineStr">
        <is>
          <t>2005-07-27</t>
        </is>
      </c>
      <c r="V861" t="inlineStr">
        <is>
          <t>2005-07-27</t>
        </is>
      </c>
      <c r="W861" t="inlineStr">
        <is>
          <t>1992-03-16</t>
        </is>
      </c>
      <c r="X861" t="inlineStr">
        <is>
          <t>1992-03-16</t>
        </is>
      </c>
      <c r="Y861" t="n">
        <v>944</v>
      </c>
      <c r="Z861" t="n">
        <v>850</v>
      </c>
      <c r="AA861" t="n">
        <v>935</v>
      </c>
      <c r="AB861" t="n">
        <v>9</v>
      </c>
      <c r="AC861" t="n">
        <v>9</v>
      </c>
      <c r="AD861" t="n">
        <v>39</v>
      </c>
      <c r="AE861" t="n">
        <v>45</v>
      </c>
      <c r="AF861" t="n">
        <v>18</v>
      </c>
      <c r="AG861" t="n">
        <v>20</v>
      </c>
      <c r="AH861" t="n">
        <v>7</v>
      </c>
      <c r="AI861" t="n">
        <v>8</v>
      </c>
      <c r="AJ861" t="n">
        <v>18</v>
      </c>
      <c r="AK861" t="n">
        <v>22</v>
      </c>
      <c r="AL861" t="n">
        <v>6</v>
      </c>
      <c r="AM861" t="n">
        <v>6</v>
      </c>
      <c r="AN861" t="n">
        <v>0</v>
      </c>
      <c r="AO861" t="n">
        <v>0</v>
      </c>
      <c r="AP861" t="inlineStr">
        <is>
          <t>Yes</t>
        </is>
      </c>
      <c r="AQ861" t="inlineStr">
        <is>
          <t>No</t>
        </is>
      </c>
      <c r="AR861">
        <f>HYPERLINK("http://catalog.hathitrust.org/Record/001401083","HathiTrust Record")</f>
        <v/>
      </c>
      <c r="AS861">
        <f>HYPERLINK("https://creighton-primo.hosted.exlibrisgroup.com/primo-explore/search?tab=default_tab&amp;search_scope=EVERYTHING&amp;vid=01CRU&amp;lang=en_US&amp;offset=0&amp;query=any,contains,991002195709702656","Catalog Record")</f>
        <v/>
      </c>
      <c r="AT861">
        <f>HYPERLINK("http://www.worldcat.org/oclc/282860","WorldCat Record")</f>
        <v/>
      </c>
      <c r="AU861" t="inlineStr">
        <is>
          <t>766871702:eng</t>
        </is>
      </c>
      <c r="AV861" t="inlineStr">
        <is>
          <t>282860</t>
        </is>
      </c>
      <c r="AW861" t="inlineStr">
        <is>
          <t>991002195709702656</t>
        </is>
      </c>
      <c r="AX861" t="inlineStr">
        <is>
          <t>991002195709702656</t>
        </is>
      </c>
      <c r="AY861" t="inlineStr">
        <is>
          <t>2266351590002656</t>
        </is>
      </c>
      <c r="AZ861" t="inlineStr">
        <is>
          <t>BOOK</t>
        </is>
      </c>
      <c r="BC861" t="inlineStr">
        <is>
          <t>32285001015121</t>
        </is>
      </c>
      <c r="BD861" t="inlineStr">
        <is>
          <t>893414927</t>
        </is>
      </c>
    </row>
    <row r="862">
      <c r="A862" t="inlineStr">
        <is>
          <t>No</t>
        </is>
      </c>
      <c r="B862" t="inlineStr">
        <is>
          <t>BV5072 .S3 1927</t>
        </is>
      </c>
      <c r="C862" t="inlineStr">
        <is>
          <t>0                      BV 5072000S  3           1927</t>
        </is>
      </c>
      <c r="D862" t="inlineStr">
        <is>
          <t>The life of union with God : and the means of attaining it, according to the great masters of spirituality / by E.J. Strickland. Translated from the 3d ed. of "La vie d'union à Dieu" by E.J. Strickland.</t>
        </is>
      </c>
      <c r="F862" t="inlineStr">
        <is>
          <t>No</t>
        </is>
      </c>
      <c r="G862" t="inlineStr">
        <is>
          <t>1</t>
        </is>
      </c>
      <c r="H862" t="inlineStr">
        <is>
          <t>No</t>
        </is>
      </c>
      <c r="I862" t="inlineStr">
        <is>
          <t>No</t>
        </is>
      </c>
      <c r="J862" t="inlineStr">
        <is>
          <t>0</t>
        </is>
      </c>
      <c r="K862" t="inlineStr">
        <is>
          <t>Saudreau, Auguste, 1859-1946.</t>
        </is>
      </c>
      <c r="L862" t="inlineStr">
        <is>
          <t>London : Burns, Oates &amp; Washbourne ltd., [1927]</t>
        </is>
      </c>
      <c r="M862" t="inlineStr">
        <is>
          <t>1927</t>
        </is>
      </c>
      <c r="O862" t="inlineStr">
        <is>
          <t>eng</t>
        </is>
      </c>
      <c r="P862" t="inlineStr">
        <is>
          <t>___</t>
        </is>
      </c>
      <c r="R862" t="inlineStr">
        <is>
          <t xml:space="preserve">BV </t>
        </is>
      </c>
      <c r="S862" t="n">
        <v>3</v>
      </c>
      <c r="T862" t="n">
        <v>3</v>
      </c>
      <c r="U862" t="inlineStr">
        <is>
          <t>2007-11-01</t>
        </is>
      </c>
      <c r="V862" t="inlineStr">
        <is>
          <t>2007-11-01</t>
        </is>
      </c>
      <c r="W862" t="inlineStr">
        <is>
          <t>1992-03-16</t>
        </is>
      </c>
      <c r="X862" t="inlineStr">
        <is>
          <t>1992-03-16</t>
        </is>
      </c>
      <c r="Y862" t="n">
        <v>47</v>
      </c>
      <c r="Z862" t="n">
        <v>35</v>
      </c>
      <c r="AA862" t="n">
        <v>48</v>
      </c>
      <c r="AB862" t="n">
        <v>1</v>
      </c>
      <c r="AC862" t="n">
        <v>1</v>
      </c>
      <c r="AD862" t="n">
        <v>8</v>
      </c>
      <c r="AE862" t="n">
        <v>9</v>
      </c>
      <c r="AF862" t="n">
        <v>2</v>
      </c>
      <c r="AG862" t="n">
        <v>2</v>
      </c>
      <c r="AH862" t="n">
        <v>3</v>
      </c>
      <c r="AI862" t="n">
        <v>3</v>
      </c>
      <c r="AJ862" t="n">
        <v>5</v>
      </c>
      <c r="AK862" t="n">
        <v>6</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HYPERLINK("https://creighton-primo.hosted.exlibrisgroup.com/primo-explore/search?tab=default_tab&amp;search_scope=EVERYTHING&amp;vid=01CRU&amp;lang=en_US&amp;offset=0&amp;query=any,contains,991003610049702656","Catalog Record")</f>
        <v/>
      </c>
      <c r="AT862">
        <f>HYPERLINK("http://www.worldcat.org/oclc/1192577","WorldCat Record")</f>
        <v/>
      </c>
      <c r="AU862" t="inlineStr">
        <is>
          <t>10200912215:eng</t>
        </is>
      </c>
      <c r="AV862" t="inlineStr">
        <is>
          <t>1192577</t>
        </is>
      </c>
      <c r="AW862" t="inlineStr">
        <is>
          <t>991003610049702656</t>
        </is>
      </c>
      <c r="AX862" t="inlineStr">
        <is>
          <t>991003610049702656</t>
        </is>
      </c>
      <c r="AY862" t="inlineStr">
        <is>
          <t>2261719210002656</t>
        </is>
      </c>
      <c r="AZ862" t="inlineStr">
        <is>
          <t>BOOK</t>
        </is>
      </c>
      <c r="BC862" t="inlineStr">
        <is>
          <t>32285001015139</t>
        </is>
      </c>
      <c r="BD862" t="inlineStr">
        <is>
          <t>893531360</t>
        </is>
      </c>
    </row>
    <row r="863">
      <c r="A863" t="inlineStr">
        <is>
          <t>No</t>
        </is>
      </c>
      <c r="B863" t="inlineStr">
        <is>
          <t>BV5075 .F36 2001</t>
        </is>
      </c>
      <c r="C863" t="inlineStr">
        <is>
          <t>0                      BV 5075000F  36          2001</t>
        </is>
      </c>
      <c r="D863" t="inlineStr">
        <is>
          <t>Mystics of the Christian tradition / Steven Fanning.</t>
        </is>
      </c>
      <c r="F863" t="inlineStr">
        <is>
          <t>No</t>
        </is>
      </c>
      <c r="G863" t="inlineStr">
        <is>
          <t>1</t>
        </is>
      </c>
      <c r="H863" t="inlineStr">
        <is>
          <t>No</t>
        </is>
      </c>
      <c r="I863" t="inlineStr">
        <is>
          <t>No</t>
        </is>
      </c>
      <c r="J863" t="inlineStr">
        <is>
          <t>0</t>
        </is>
      </c>
      <c r="K863" t="inlineStr">
        <is>
          <t>Fanning, Steven.</t>
        </is>
      </c>
      <c r="L863" t="inlineStr">
        <is>
          <t>London ; New York : Routledge, 2001.</t>
        </is>
      </c>
      <c r="M863" t="inlineStr">
        <is>
          <t>2001</t>
        </is>
      </c>
      <c r="O863" t="inlineStr">
        <is>
          <t>eng</t>
        </is>
      </c>
      <c r="P863" t="inlineStr">
        <is>
          <t>enk</t>
        </is>
      </c>
      <c r="R863" t="inlineStr">
        <is>
          <t xml:space="preserve">BV </t>
        </is>
      </c>
      <c r="S863" t="n">
        <v>8</v>
      </c>
      <c r="T863" t="n">
        <v>8</v>
      </c>
      <c r="U863" t="inlineStr">
        <is>
          <t>2007-11-24</t>
        </is>
      </c>
      <c r="V863" t="inlineStr">
        <is>
          <t>2007-11-24</t>
        </is>
      </c>
      <c r="W863" t="inlineStr">
        <is>
          <t>2003-03-24</t>
        </is>
      </c>
      <c r="X863" t="inlineStr">
        <is>
          <t>2003-03-24</t>
        </is>
      </c>
      <c r="Y863" t="n">
        <v>406</v>
      </c>
      <c r="Z863" t="n">
        <v>316</v>
      </c>
      <c r="AA863" t="n">
        <v>349</v>
      </c>
      <c r="AB863" t="n">
        <v>1</v>
      </c>
      <c r="AC863" t="n">
        <v>1</v>
      </c>
      <c r="AD863" t="n">
        <v>19</v>
      </c>
      <c r="AE863" t="n">
        <v>20</v>
      </c>
      <c r="AF863" t="n">
        <v>7</v>
      </c>
      <c r="AG863" t="n">
        <v>8</v>
      </c>
      <c r="AH863" t="n">
        <v>5</v>
      </c>
      <c r="AI863" t="n">
        <v>5</v>
      </c>
      <c r="AJ863" t="n">
        <v>12</v>
      </c>
      <c r="AK863" t="n">
        <v>13</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HYPERLINK("https://creighton-primo.hosted.exlibrisgroup.com/primo-explore/search?tab=default_tab&amp;search_scope=EVERYTHING&amp;vid=01CRU&amp;lang=en_US&amp;offset=0&amp;query=any,contains,991004001099702656","Catalog Record")</f>
        <v/>
      </c>
      <c r="AT863">
        <f>HYPERLINK("http://www.worldcat.org/oclc/45610371","WorldCat Record")</f>
        <v/>
      </c>
      <c r="AU863" t="inlineStr">
        <is>
          <t>9353521:eng</t>
        </is>
      </c>
      <c r="AV863" t="inlineStr">
        <is>
          <t>45610371</t>
        </is>
      </c>
      <c r="AW863" t="inlineStr">
        <is>
          <t>991004001099702656</t>
        </is>
      </c>
      <c r="AX863" t="inlineStr">
        <is>
          <t>991004001099702656</t>
        </is>
      </c>
      <c r="AY863" t="inlineStr">
        <is>
          <t>2260340370002656</t>
        </is>
      </c>
      <c r="AZ863" t="inlineStr">
        <is>
          <t>BOOK</t>
        </is>
      </c>
      <c r="BB863" t="inlineStr">
        <is>
          <t>9780415224673</t>
        </is>
      </c>
      <c r="BC863" t="inlineStr">
        <is>
          <t>32285004686282</t>
        </is>
      </c>
      <c r="BD863" t="inlineStr">
        <is>
          <t>893875572</t>
        </is>
      </c>
    </row>
    <row r="864">
      <c r="A864" t="inlineStr">
        <is>
          <t>No</t>
        </is>
      </c>
      <c r="B864" t="inlineStr">
        <is>
          <t>BV5075 .W34 1964</t>
        </is>
      </c>
      <c r="C864" t="inlineStr">
        <is>
          <t>0                      BV 5075000W  34          1964</t>
        </is>
      </c>
      <c r="D864" t="inlineStr">
        <is>
          <t>Spirituality through the centuries : ascetics and mystics of the Western Church / edited and introduced by James Walsh.</t>
        </is>
      </c>
      <c r="F864" t="inlineStr">
        <is>
          <t>No</t>
        </is>
      </c>
      <c r="G864" t="inlineStr">
        <is>
          <t>1</t>
        </is>
      </c>
      <c r="H864" t="inlineStr">
        <is>
          <t>No</t>
        </is>
      </c>
      <c r="I864" t="inlineStr">
        <is>
          <t>No</t>
        </is>
      </c>
      <c r="J864" t="inlineStr">
        <is>
          <t>0</t>
        </is>
      </c>
      <c r="K864" t="inlineStr">
        <is>
          <t>Walsh, James, 1920-1986, editor.</t>
        </is>
      </c>
      <c r="L864" t="inlineStr">
        <is>
          <t>New York : P. J. Kenedy, [1964]</t>
        </is>
      </c>
      <c r="M864" t="inlineStr">
        <is>
          <t>1964</t>
        </is>
      </c>
      <c r="O864" t="inlineStr">
        <is>
          <t>eng</t>
        </is>
      </c>
      <c r="P864" t="inlineStr">
        <is>
          <t>nyu</t>
        </is>
      </c>
      <c r="R864" t="inlineStr">
        <is>
          <t xml:space="preserve">BV </t>
        </is>
      </c>
      <c r="S864" t="n">
        <v>3</v>
      </c>
      <c r="T864" t="n">
        <v>3</v>
      </c>
      <c r="U864" t="inlineStr">
        <is>
          <t>2006-09-17</t>
        </is>
      </c>
      <c r="V864" t="inlineStr">
        <is>
          <t>2006-09-17</t>
        </is>
      </c>
      <c r="W864" t="inlineStr">
        <is>
          <t>1992-03-18</t>
        </is>
      </c>
      <c r="X864" t="inlineStr">
        <is>
          <t>1992-03-18</t>
        </is>
      </c>
      <c r="Y864" t="n">
        <v>413</v>
      </c>
      <c r="Z864" t="n">
        <v>388</v>
      </c>
      <c r="AA864" t="n">
        <v>410</v>
      </c>
      <c r="AB864" t="n">
        <v>3</v>
      </c>
      <c r="AC864" t="n">
        <v>3</v>
      </c>
      <c r="AD864" t="n">
        <v>28</v>
      </c>
      <c r="AE864" t="n">
        <v>29</v>
      </c>
      <c r="AF864" t="n">
        <v>9</v>
      </c>
      <c r="AG864" t="n">
        <v>9</v>
      </c>
      <c r="AH864" t="n">
        <v>7</v>
      </c>
      <c r="AI864" t="n">
        <v>7</v>
      </c>
      <c r="AJ864" t="n">
        <v>19</v>
      </c>
      <c r="AK864" t="n">
        <v>20</v>
      </c>
      <c r="AL864" t="n">
        <v>2</v>
      </c>
      <c r="AM864" t="n">
        <v>2</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HYPERLINK("https://creighton-primo.hosted.exlibrisgroup.com/primo-explore/search?tab=default_tab&amp;search_scope=EVERYTHING&amp;vid=01CRU&amp;lang=en_US&amp;offset=0&amp;query=any,contains,991002640639702656","Catalog Record")</f>
        <v/>
      </c>
      <c r="AT864">
        <f>HYPERLINK("http://www.worldcat.org/oclc/384221","WorldCat Record")</f>
        <v/>
      </c>
      <c r="AU864" t="inlineStr">
        <is>
          <t>1046387756:eng</t>
        </is>
      </c>
      <c r="AV864" t="inlineStr">
        <is>
          <t>384221</t>
        </is>
      </c>
      <c r="AW864" t="inlineStr">
        <is>
          <t>991002640639702656</t>
        </is>
      </c>
      <c r="AX864" t="inlineStr">
        <is>
          <t>991002640639702656</t>
        </is>
      </c>
      <c r="AY864" t="inlineStr">
        <is>
          <t>2256315410002656</t>
        </is>
      </c>
      <c r="AZ864" t="inlineStr">
        <is>
          <t>BOOK</t>
        </is>
      </c>
      <c r="BC864" t="inlineStr">
        <is>
          <t>32285001015238</t>
        </is>
      </c>
      <c r="BD864" t="inlineStr">
        <is>
          <t>893616363</t>
        </is>
      </c>
    </row>
    <row r="865">
      <c r="A865" t="inlineStr">
        <is>
          <t>No</t>
        </is>
      </c>
      <c r="B865" t="inlineStr">
        <is>
          <t>BV5077.E53 M54 1996</t>
        </is>
      </c>
      <c r="C865" t="inlineStr">
        <is>
          <t>0                      BV 5077000E  53                 M  54          1996</t>
        </is>
      </c>
      <c r="D865" t="inlineStr">
        <is>
          <t>The way of the English mystics : an anthology and guide for pilgrims / Gordon L. Miller.</t>
        </is>
      </c>
      <c r="F865" t="inlineStr">
        <is>
          <t>No</t>
        </is>
      </c>
      <c r="G865" t="inlineStr">
        <is>
          <t>1</t>
        </is>
      </c>
      <c r="H865" t="inlineStr">
        <is>
          <t>No</t>
        </is>
      </c>
      <c r="I865" t="inlineStr">
        <is>
          <t>No</t>
        </is>
      </c>
      <c r="J865" t="inlineStr">
        <is>
          <t>0</t>
        </is>
      </c>
      <c r="K865" t="inlineStr">
        <is>
          <t>Miller, Gordon L.</t>
        </is>
      </c>
      <c r="L865" t="inlineStr">
        <is>
          <t>Ridgefield, CT : Morehouse Pub., 1996.</t>
        </is>
      </c>
      <c r="M865" t="inlineStr">
        <is>
          <t>1996</t>
        </is>
      </c>
      <c r="O865" t="inlineStr">
        <is>
          <t>eng</t>
        </is>
      </c>
      <c r="P865" t="inlineStr">
        <is>
          <t>ctu</t>
        </is>
      </c>
      <c r="R865" t="inlineStr">
        <is>
          <t xml:space="preserve">BV </t>
        </is>
      </c>
      <c r="S865" t="n">
        <v>6</v>
      </c>
      <c r="T865" t="n">
        <v>6</v>
      </c>
      <c r="U865" t="inlineStr">
        <is>
          <t>2005-04-07</t>
        </is>
      </c>
      <c r="V865" t="inlineStr">
        <is>
          <t>2005-04-07</t>
        </is>
      </c>
      <c r="W865" t="inlineStr">
        <is>
          <t>1997-02-25</t>
        </is>
      </c>
      <c r="X865" t="inlineStr">
        <is>
          <t>1997-02-25</t>
        </is>
      </c>
      <c r="Y865" t="n">
        <v>95</v>
      </c>
      <c r="Z865" t="n">
        <v>88</v>
      </c>
      <c r="AA865" t="n">
        <v>385</v>
      </c>
      <c r="AB865" t="n">
        <v>1</v>
      </c>
      <c r="AC865" t="n">
        <v>3</v>
      </c>
      <c r="AD865" t="n">
        <v>1</v>
      </c>
      <c r="AE865" t="n">
        <v>7</v>
      </c>
      <c r="AF865" t="n">
        <v>0</v>
      </c>
      <c r="AG865" t="n">
        <v>3</v>
      </c>
      <c r="AH865" t="n">
        <v>0</v>
      </c>
      <c r="AI865" t="n">
        <v>1</v>
      </c>
      <c r="AJ865" t="n">
        <v>1</v>
      </c>
      <c r="AK865" t="n">
        <v>3</v>
      </c>
      <c r="AL865" t="n">
        <v>0</v>
      </c>
      <c r="AM865" t="n">
        <v>2</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HYPERLINK("https://creighton-primo.hosted.exlibrisgroup.com/primo-explore/search?tab=default_tab&amp;search_scope=EVERYTHING&amp;vid=01CRU&amp;lang=en_US&amp;offset=0&amp;query=any,contains,991002721339702656","Catalog Record")</f>
        <v/>
      </c>
      <c r="AT865">
        <f>HYPERLINK("http://www.worldcat.org/oclc/35681621","WorldCat Record")</f>
        <v/>
      </c>
      <c r="AU865" t="inlineStr">
        <is>
          <t>803163011:eng</t>
        </is>
      </c>
      <c r="AV865" t="inlineStr">
        <is>
          <t>35681621</t>
        </is>
      </c>
      <c r="AW865" t="inlineStr">
        <is>
          <t>991002721339702656</t>
        </is>
      </c>
      <c r="AX865" t="inlineStr">
        <is>
          <t>991002721339702656</t>
        </is>
      </c>
      <c r="AY865" t="inlineStr">
        <is>
          <t>2260301530002656</t>
        </is>
      </c>
      <c r="AZ865" t="inlineStr">
        <is>
          <t>BOOK</t>
        </is>
      </c>
      <c r="BB865" t="inlineStr">
        <is>
          <t>9780819216755</t>
        </is>
      </c>
      <c r="BC865" t="inlineStr">
        <is>
          <t>32285002433034</t>
        </is>
      </c>
      <c r="BD865" t="inlineStr">
        <is>
          <t>893597792</t>
        </is>
      </c>
    </row>
    <row r="866">
      <c r="A866" t="inlineStr">
        <is>
          <t>No</t>
        </is>
      </c>
      <c r="B866" t="inlineStr">
        <is>
          <t>BV5077.E54 P76 1996</t>
        </is>
      </c>
      <c r="C866" t="inlineStr">
        <is>
          <t>0                      BV 5077000E  54                 P  76          1996</t>
        </is>
      </c>
      <c r="D866" t="inlineStr">
        <is>
          <t>Prophets abroad : the reception of Continental holy women in late-medieval England / edited by Rosalynn Voaden.</t>
        </is>
      </c>
      <c r="F866" t="inlineStr">
        <is>
          <t>No</t>
        </is>
      </c>
      <c r="G866" t="inlineStr">
        <is>
          <t>1</t>
        </is>
      </c>
      <c r="H866" t="inlineStr">
        <is>
          <t>No</t>
        </is>
      </c>
      <c r="I866" t="inlineStr">
        <is>
          <t>No</t>
        </is>
      </c>
      <c r="J866" t="inlineStr">
        <is>
          <t>0</t>
        </is>
      </c>
      <c r="L866" t="inlineStr">
        <is>
          <t>Cambridge ; Rochester, NY, USA : D.S. Brewer, 1996.</t>
        </is>
      </c>
      <c r="M866" t="inlineStr">
        <is>
          <t>1996</t>
        </is>
      </c>
      <c r="O866" t="inlineStr">
        <is>
          <t>eng</t>
        </is>
      </c>
      <c r="P866" t="inlineStr">
        <is>
          <t>enk</t>
        </is>
      </c>
      <c r="R866" t="inlineStr">
        <is>
          <t xml:space="preserve">BV </t>
        </is>
      </c>
      <c r="S866" t="n">
        <v>3</v>
      </c>
      <c r="T866" t="n">
        <v>3</v>
      </c>
      <c r="U866" t="inlineStr">
        <is>
          <t>2000-03-14</t>
        </is>
      </c>
      <c r="V866" t="inlineStr">
        <is>
          <t>2000-03-14</t>
        </is>
      </c>
      <c r="W866" t="inlineStr">
        <is>
          <t>1997-10-21</t>
        </is>
      </c>
      <c r="X866" t="inlineStr">
        <is>
          <t>1997-10-21</t>
        </is>
      </c>
      <c r="Y866" t="n">
        <v>222</v>
      </c>
      <c r="Z866" t="n">
        <v>161</v>
      </c>
      <c r="AA866" t="n">
        <v>592</v>
      </c>
      <c r="AB866" t="n">
        <v>2</v>
      </c>
      <c r="AC866" t="n">
        <v>3</v>
      </c>
      <c r="AD866" t="n">
        <v>13</v>
      </c>
      <c r="AE866" t="n">
        <v>20</v>
      </c>
      <c r="AF866" t="n">
        <v>2</v>
      </c>
      <c r="AG866" t="n">
        <v>7</v>
      </c>
      <c r="AH866" t="n">
        <v>6</v>
      </c>
      <c r="AI866" t="n">
        <v>7</v>
      </c>
      <c r="AJ866" t="n">
        <v>7</v>
      </c>
      <c r="AK866" t="n">
        <v>9</v>
      </c>
      <c r="AL866" t="n">
        <v>1</v>
      </c>
      <c r="AM866" t="n">
        <v>2</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HYPERLINK("https://creighton-primo.hosted.exlibrisgroup.com/primo-explore/search?tab=default_tab&amp;search_scope=EVERYTHING&amp;vid=01CRU&amp;lang=en_US&amp;offset=0&amp;query=any,contains,991002660099702656","Catalog Record")</f>
        <v/>
      </c>
      <c r="AT866">
        <f>HYPERLINK("http://www.worldcat.org/oclc/34772114","WorldCat Record")</f>
        <v/>
      </c>
      <c r="AU866" t="inlineStr">
        <is>
          <t>799394201:eng</t>
        </is>
      </c>
      <c r="AV866" t="inlineStr">
        <is>
          <t>34772114</t>
        </is>
      </c>
      <c r="AW866" t="inlineStr">
        <is>
          <t>991002660099702656</t>
        </is>
      </c>
      <c r="AX866" t="inlineStr">
        <is>
          <t>991002660099702656</t>
        </is>
      </c>
      <c r="AY866" t="inlineStr">
        <is>
          <t>2263145910002656</t>
        </is>
      </c>
      <c r="AZ866" t="inlineStr">
        <is>
          <t>BOOK</t>
        </is>
      </c>
      <c r="BB866" t="inlineStr">
        <is>
          <t>9780859914253</t>
        </is>
      </c>
      <c r="BC866" t="inlineStr">
        <is>
          <t>32285003257192</t>
        </is>
      </c>
      <c r="BD866" t="inlineStr">
        <is>
          <t>893804860</t>
        </is>
      </c>
    </row>
    <row r="867">
      <c r="A867" t="inlineStr">
        <is>
          <t>No</t>
        </is>
      </c>
      <c r="B867" t="inlineStr">
        <is>
          <t>BV5077.E853 D37 1988</t>
        </is>
      </c>
      <c r="C867" t="inlineStr">
        <is>
          <t>0                      BV 5077000E  853                D  37          1988</t>
        </is>
      </c>
      <c r="D867" t="inlineStr">
        <is>
          <t>God within : the mystical tradition of northern Europe / Oliver Davies ; foreword by Rowan Williams.</t>
        </is>
      </c>
      <c r="F867" t="inlineStr">
        <is>
          <t>No</t>
        </is>
      </c>
      <c r="G867" t="inlineStr">
        <is>
          <t>1</t>
        </is>
      </c>
      <c r="H867" t="inlineStr">
        <is>
          <t>No</t>
        </is>
      </c>
      <c r="I867" t="inlineStr">
        <is>
          <t>No</t>
        </is>
      </c>
      <c r="J867" t="inlineStr">
        <is>
          <t>0</t>
        </is>
      </c>
      <c r="K867" t="inlineStr">
        <is>
          <t>Davies, Oliver.</t>
        </is>
      </c>
      <c r="L867" t="inlineStr">
        <is>
          <t>New York : Paulist Press, 1988.</t>
        </is>
      </c>
      <c r="M867" t="inlineStr">
        <is>
          <t>1988</t>
        </is>
      </c>
      <c r="O867" t="inlineStr">
        <is>
          <t>eng</t>
        </is>
      </c>
      <c r="P867" t="inlineStr">
        <is>
          <t>nyu</t>
        </is>
      </c>
      <c r="R867" t="inlineStr">
        <is>
          <t xml:space="preserve">BV </t>
        </is>
      </c>
      <c r="S867" t="n">
        <v>9</v>
      </c>
      <c r="T867" t="n">
        <v>9</v>
      </c>
      <c r="U867" t="inlineStr">
        <is>
          <t>2006-09-09</t>
        </is>
      </c>
      <c r="V867" t="inlineStr">
        <is>
          <t>2006-09-09</t>
        </is>
      </c>
      <c r="W867" t="inlineStr">
        <is>
          <t>1989-11-16</t>
        </is>
      </c>
      <c r="X867" t="inlineStr">
        <is>
          <t>1989-11-16</t>
        </is>
      </c>
      <c r="Y867" t="n">
        <v>262</v>
      </c>
      <c r="Z867" t="n">
        <v>225</v>
      </c>
      <c r="AA867" t="n">
        <v>277</v>
      </c>
      <c r="AB867" t="n">
        <v>1</v>
      </c>
      <c r="AC867" t="n">
        <v>2</v>
      </c>
      <c r="AD867" t="n">
        <v>17</v>
      </c>
      <c r="AE867" t="n">
        <v>21</v>
      </c>
      <c r="AF867" t="n">
        <v>8</v>
      </c>
      <c r="AG867" t="n">
        <v>10</v>
      </c>
      <c r="AH867" t="n">
        <v>4</v>
      </c>
      <c r="AI867" t="n">
        <v>4</v>
      </c>
      <c r="AJ867" t="n">
        <v>10</v>
      </c>
      <c r="AK867" t="n">
        <v>12</v>
      </c>
      <c r="AL867" t="n">
        <v>0</v>
      </c>
      <c r="AM867" t="n">
        <v>1</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HYPERLINK("https://creighton-primo.hosted.exlibrisgroup.com/primo-explore/search?tab=default_tab&amp;search_scope=EVERYTHING&amp;vid=01CRU&amp;lang=en_US&amp;offset=0&amp;query=any,contains,991001382019702656","Catalog Record")</f>
        <v/>
      </c>
      <c r="AT867">
        <f>HYPERLINK("http://www.worldcat.org/oclc/18684293","WorldCat Record")</f>
        <v/>
      </c>
      <c r="AU867" t="inlineStr">
        <is>
          <t>1042370936:eng</t>
        </is>
      </c>
      <c r="AV867" t="inlineStr">
        <is>
          <t>18684293</t>
        </is>
      </c>
      <c r="AW867" t="inlineStr">
        <is>
          <t>991001382019702656</t>
        </is>
      </c>
      <c r="AX867" t="inlineStr">
        <is>
          <t>991001382019702656</t>
        </is>
      </c>
      <c r="AY867" t="inlineStr">
        <is>
          <t>2264662210002656</t>
        </is>
      </c>
      <c r="AZ867" t="inlineStr">
        <is>
          <t>BOOK</t>
        </is>
      </c>
      <c r="BB867" t="inlineStr">
        <is>
          <t>9780809130412</t>
        </is>
      </c>
      <c r="BC867" t="inlineStr">
        <is>
          <t>32285000013739</t>
        </is>
      </c>
      <c r="BD867" t="inlineStr">
        <is>
          <t>893509588</t>
        </is>
      </c>
    </row>
    <row r="868">
      <c r="A868" t="inlineStr">
        <is>
          <t>No</t>
        </is>
      </c>
      <c r="B868" t="inlineStr">
        <is>
          <t>BV5077.G7 C63 1961</t>
        </is>
      </c>
      <c r="C868" t="inlineStr">
        <is>
          <t>0                      BV 5077000G  7                  C  63          1961</t>
        </is>
      </c>
      <c r="D868" t="inlineStr">
        <is>
          <t>The mediaeval mystics of England / edited and with an introd. by Eric Colledge. Elmer O'Brien [general editor]</t>
        </is>
      </c>
      <c r="F868" t="inlineStr">
        <is>
          <t>No</t>
        </is>
      </c>
      <c r="G868" t="inlineStr">
        <is>
          <t>1</t>
        </is>
      </c>
      <c r="H868" t="inlineStr">
        <is>
          <t>No</t>
        </is>
      </c>
      <c r="I868" t="inlineStr">
        <is>
          <t>No</t>
        </is>
      </c>
      <c r="J868" t="inlineStr">
        <is>
          <t>0</t>
        </is>
      </c>
      <c r="K868" t="inlineStr">
        <is>
          <t>Colledge, Edmund editor.</t>
        </is>
      </c>
      <c r="L868" t="inlineStr">
        <is>
          <t>New York : Scribner, [1961]</t>
        </is>
      </c>
      <c r="M868" t="inlineStr">
        <is>
          <t>1961</t>
        </is>
      </c>
      <c r="O868" t="inlineStr">
        <is>
          <t>eng</t>
        </is>
      </c>
      <c r="P868" t="inlineStr">
        <is>
          <t>nyu</t>
        </is>
      </c>
      <c r="R868" t="inlineStr">
        <is>
          <t xml:space="preserve">BV </t>
        </is>
      </c>
      <c r="S868" t="n">
        <v>4</v>
      </c>
      <c r="T868" t="n">
        <v>4</v>
      </c>
      <c r="U868" t="inlineStr">
        <is>
          <t>2010-09-20</t>
        </is>
      </c>
      <c r="V868" t="inlineStr">
        <is>
          <t>2010-09-20</t>
        </is>
      </c>
      <c r="W868" t="inlineStr">
        <is>
          <t>1991-07-11</t>
        </is>
      </c>
      <c r="X868" t="inlineStr">
        <is>
          <t>1991-07-11</t>
        </is>
      </c>
      <c r="Y868" t="n">
        <v>927</v>
      </c>
      <c r="Z868" t="n">
        <v>875</v>
      </c>
      <c r="AA868" t="n">
        <v>886</v>
      </c>
      <c r="AB868" t="n">
        <v>8</v>
      </c>
      <c r="AC868" t="n">
        <v>8</v>
      </c>
      <c r="AD868" t="n">
        <v>44</v>
      </c>
      <c r="AE868" t="n">
        <v>45</v>
      </c>
      <c r="AF868" t="n">
        <v>17</v>
      </c>
      <c r="AG868" t="n">
        <v>18</v>
      </c>
      <c r="AH868" t="n">
        <v>9</v>
      </c>
      <c r="AI868" t="n">
        <v>9</v>
      </c>
      <c r="AJ868" t="n">
        <v>23</v>
      </c>
      <c r="AK868" t="n">
        <v>23</v>
      </c>
      <c r="AL868" t="n">
        <v>7</v>
      </c>
      <c r="AM868" t="n">
        <v>7</v>
      </c>
      <c r="AN868" t="n">
        <v>0</v>
      </c>
      <c r="AO868" t="n">
        <v>0</v>
      </c>
      <c r="AP868" t="inlineStr">
        <is>
          <t>No</t>
        </is>
      </c>
      <c r="AQ868" t="inlineStr">
        <is>
          <t>No</t>
        </is>
      </c>
      <c r="AR868">
        <f>HYPERLINK("http://catalog.hathitrust.org/Record/001415037","HathiTrust Record")</f>
        <v/>
      </c>
      <c r="AS868">
        <f>HYPERLINK("https://creighton-primo.hosted.exlibrisgroup.com/primo-explore/search?tab=default_tab&amp;search_scope=EVERYTHING&amp;vid=01CRU&amp;lang=en_US&amp;offset=0&amp;query=any,contains,991002640489702656","Catalog Record")</f>
        <v/>
      </c>
      <c r="AT868">
        <f>HYPERLINK("http://www.worldcat.org/oclc/384145","WorldCat Record")</f>
        <v/>
      </c>
      <c r="AU868" t="inlineStr">
        <is>
          <t>10201019486:eng</t>
        </is>
      </c>
      <c r="AV868" t="inlineStr">
        <is>
          <t>384145</t>
        </is>
      </c>
      <c r="AW868" t="inlineStr">
        <is>
          <t>991002640489702656</t>
        </is>
      </c>
      <c r="AX868" t="inlineStr">
        <is>
          <t>991002640489702656</t>
        </is>
      </c>
      <c r="AY868" t="inlineStr">
        <is>
          <t>2256344900002656</t>
        </is>
      </c>
      <c r="AZ868" t="inlineStr">
        <is>
          <t>BOOK</t>
        </is>
      </c>
      <c r="BC868" t="inlineStr">
        <is>
          <t>32285000637024</t>
        </is>
      </c>
      <c r="BD868" t="inlineStr">
        <is>
          <t>893622523</t>
        </is>
      </c>
    </row>
    <row r="869">
      <c r="A869" t="inlineStr">
        <is>
          <t>No</t>
        </is>
      </c>
      <c r="B869" t="inlineStr">
        <is>
          <t>BV5077.G7 K58 1961</t>
        </is>
      </c>
      <c r="C869" t="inlineStr">
        <is>
          <t>0                      BV 5077000G  7                  K  58          1961</t>
        </is>
      </c>
      <c r="D869" t="inlineStr">
        <is>
          <t>The English mystical tradition / David Knowles.</t>
        </is>
      </c>
      <c r="F869" t="inlineStr">
        <is>
          <t>No</t>
        </is>
      </c>
      <c r="G869" t="inlineStr">
        <is>
          <t>1</t>
        </is>
      </c>
      <c r="H869" t="inlineStr">
        <is>
          <t>No</t>
        </is>
      </c>
      <c r="I869" t="inlineStr">
        <is>
          <t>No</t>
        </is>
      </c>
      <c r="J869" t="inlineStr">
        <is>
          <t>0</t>
        </is>
      </c>
      <c r="K869" t="inlineStr">
        <is>
          <t>Knowles, David, 1896-1974.</t>
        </is>
      </c>
      <c r="L869" t="inlineStr">
        <is>
          <t>New York : Harper, [1961]</t>
        </is>
      </c>
      <c r="M869" t="inlineStr">
        <is>
          <t>1961</t>
        </is>
      </c>
      <c r="N869" t="inlineStr">
        <is>
          <t>[1st ed.]</t>
        </is>
      </c>
      <c r="O869" t="inlineStr">
        <is>
          <t>eng</t>
        </is>
      </c>
      <c r="P869" t="inlineStr">
        <is>
          <t>nyu</t>
        </is>
      </c>
      <c r="R869" t="inlineStr">
        <is>
          <t xml:space="preserve">BV </t>
        </is>
      </c>
      <c r="S869" t="n">
        <v>9</v>
      </c>
      <c r="T869" t="n">
        <v>9</v>
      </c>
      <c r="U869" t="inlineStr">
        <is>
          <t>2010-09-14</t>
        </is>
      </c>
      <c r="V869" t="inlineStr">
        <is>
          <t>2010-09-14</t>
        </is>
      </c>
      <c r="W869" t="inlineStr">
        <is>
          <t>1992-03-18</t>
        </is>
      </c>
      <c r="X869" t="inlineStr">
        <is>
          <t>1992-03-18</t>
        </is>
      </c>
      <c r="Y869" t="n">
        <v>617</v>
      </c>
      <c r="Z869" t="n">
        <v>564</v>
      </c>
      <c r="AA869" t="n">
        <v>724</v>
      </c>
      <c r="AB869" t="n">
        <v>5</v>
      </c>
      <c r="AC869" t="n">
        <v>5</v>
      </c>
      <c r="AD869" t="n">
        <v>35</v>
      </c>
      <c r="AE869" t="n">
        <v>40</v>
      </c>
      <c r="AF869" t="n">
        <v>14</v>
      </c>
      <c r="AG869" t="n">
        <v>15</v>
      </c>
      <c r="AH869" t="n">
        <v>8</v>
      </c>
      <c r="AI869" t="n">
        <v>10</v>
      </c>
      <c r="AJ869" t="n">
        <v>21</v>
      </c>
      <c r="AK869" t="n">
        <v>25</v>
      </c>
      <c r="AL869" t="n">
        <v>3</v>
      </c>
      <c r="AM869" t="n">
        <v>3</v>
      </c>
      <c r="AN869" t="n">
        <v>0</v>
      </c>
      <c r="AO869" t="n">
        <v>0</v>
      </c>
      <c r="AP869" t="inlineStr">
        <is>
          <t>No</t>
        </is>
      </c>
      <c r="AQ869" t="inlineStr">
        <is>
          <t>Yes</t>
        </is>
      </c>
      <c r="AR869">
        <f>HYPERLINK("http://catalog.hathitrust.org/Record/001415043","HathiTrust Record")</f>
        <v/>
      </c>
      <c r="AS869">
        <f>HYPERLINK("https://creighton-primo.hosted.exlibrisgroup.com/primo-explore/search?tab=default_tab&amp;search_scope=EVERYTHING&amp;vid=01CRU&amp;lang=en_US&amp;offset=0&amp;query=any,contains,991003900929702656","Catalog Record")</f>
        <v/>
      </c>
      <c r="AT869">
        <f>HYPERLINK("http://www.worldcat.org/oclc/1823929","WorldCat Record")</f>
        <v/>
      </c>
      <c r="AU869" t="inlineStr">
        <is>
          <t>62663059:eng</t>
        </is>
      </c>
      <c r="AV869" t="inlineStr">
        <is>
          <t>1823929</t>
        </is>
      </c>
      <c r="AW869" t="inlineStr">
        <is>
          <t>991003900929702656</t>
        </is>
      </c>
      <c r="AX869" t="inlineStr">
        <is>
          <t>991003900929702656</t>
        </is>
      </c>
      <c r="AY869" t="inlineStr">
        <is>
          <t>2255491420002656</t>
        </is>
      </c>
      <c r="AZ869" t="inlineStr">
        <is>
          <t>BOOK</t>
        </is>
      </c>
      <c r="BC869" t="inlineStr">
        <is>
          <t>32285001015246</t>
        </is>
      </c>
      <c r="BD869" t="inlineStr">
        <is>
          <t>893599181</t>
        </is>
      </c>
    </row>
    <row r="870">
      <c r="A870" t="inlineStr">
        <is>
          <t>No</t>
        </is>
      </c>
      <c r="B870" t="inlineStr">
        <is>
          <t>BV5077.G7 L33</t>
        </is>
      </c>
      <c r="C870" t="inlineStr">
        <is>
          <t>0                      BV 5077000G  7                  L  33</t>
        </is>
      </c>
      <c r="D870" t="inlineStr">
        <is>
          <t>The 14th-century English mystics : a comprehensive annotated bibliography / Valerie Marie Lagorio, Ritamary Bardley.</t>
        </is>
      </c>
      <c r="F870" t="inlineStr">
        <is>
          <t>No</t>
        </is>
      </c>
      <c r="G870" t="inlineStr">
        <is>
          <t>1</t>
        </is>
      </c>
      <c r="H870" t="inlineStr">
        <is>
          <t>No</t>
        </is>
      </c>
      <c r="I870" t="inlineStr">
        <is>
          <t>No</t>
        </is>
      </c>
      <c r="J870" t="inlineStr">
        <is>
          <t>0</t>
        </is>
      </c>
      <c r="K870" t="inlineStr">
        <is>
          <t>Lagorio, Valerie Marie, 1925-</t>
        </is>
      </c>
      <c r="L870" t="inlineStr">
        <is>
          <t>New York : Garland Pub., 1981.</t>
        </is>
      </c>
      <c r="M870" t="inlineStr">
        <is>
          <t>1981</t>
        </is>
      </c>
      <c r="O870" t="inlineStr">
        <is>
          <t>eng</t>
        </is>
      </c>
      <c r="P870" t="inlineStr">
        <is>
          <t>nyu</t>
        </is>
      </c>
      <c r="Q870" t="inlineStr">
        <is>
          <t>Garland reference library of the humanities ; v. 190</t>
        </is>
      </c>
      <c r="R870" t="inlineStr">
        <is>
          <t xml:space="preserve">BV </t>
        </is>
      </c>
      <c r="S870" t="n">
        <v>5</v>
      </c>
      <c r="T870" t="n">
        <v>5</v>
      </c>
      <c r="U870" t="inlineStr">
        <is>
          <t>2005-01-12</t>
        </is>
      </c>
      <c r="V870" t="inlineStr">
        <is>
          <t>2005-01-12</t>
        </is>
      </c>
      <c r="W870" t="inlineStr">
        <is>
          <t>1992-03-18</t>
        </is>
      </c>
      <c r="X870" t="inlineStr">
        <is>
          <t>1992-03-18</t>
        </is>
      </c>
      <c r="Y870" t="n">
        <v>335</v>
      </c>
      <c r="Z870" t="n">
        <v>256</v>
      </c>
      <c r="AA870" t="n">
        <v>261</v>
      </c>
      <c r="AB870" t="n">
        <v>3</v>
      </c>
      <c r="AC870" t="n">
        <v>3</v>
      </c>
      <c r="AD870" t="n">
        <v>18</v>
      </c>
      <c r="AE870" t="n">
        <v>18</v>
      </c>
      <c r="AF870" t="n">
        <v>3</v>
      </c>
      <c r="AG870" t="n">
        <v>3</v>
      </c>
      <c r="AH870" t="n">
        <v>5</v>
      </c>
      <c r="AI870" t="n">
        <v>5</v>
      </c>
      <c r="AJ870" t="n">
        <v>14</v>
      </c>
      <c r="AK870" t="n">
        <v>14</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HYPERLINK("https://creighton-primo.hosted.exlibrisgroup.com/primo-explore/search?tab=default_tab&amp;search_scope=EVERYTHING&amp;vid=01CRU&amp;lang=en_US&amp;offset=0&amp;query=any,contains,991005086419702656","Catalog Record")</f>
        <v/>
      </c>
      <c r="AT870">
        <f>HYPERLINK("http://www.worldcat.org/oclc/7196881","WorldCat Record")</f>
        <v/>
      </c>
      <c r="AU870" t="inlineStr">
        <is>
          <t>20563686:eng</t>
        </is>
      </c>
      <c r="AV870" t="inlineStr">
        <is>
          <t>7196881</t>
        </is>
      </c>
      <c r="AW870" t="inlineStr">
        <is>
          <t>991005086419702656</t>
        </is>
      </c>
      <c r="AX870" t="inlineStr">
        <is>
          <t>991005086419702656</t>
        </is>
      </c>
      <c r="AY870" t="inlineStr">
        <is>
          <t>2255723930002656</t>
        </is>
      </c>
      <c r="AZ870" t="inlineStr">
        <is>
          <t>BOOK</t>
        </is>
      </c>
      <c r="BB870" t="inlineStr">
        <is>
          <t>9780824095352</t>
        </is>
      </c>
      <c r="BC870" t="inlineStr">
        <is>
          <t>32285001015253</t>
        </is>
      </c>
      <c r="BD870" t="inlineStr">
        <is>
          <t>893707227</t>
        </is>
      </c>
    </row>
    <row r="871">
      <c r="A871" t="inlineStr">
        <is>
          <t>No</t>
        </is>
      </c>
      <c r="B871" t="inlineStr">
        <is>
          <t>BV5077.G7 M44 1984</t>
        </is>
      </c>
      <c r="C871" t="inlineStr">
        <is>
          <t>0                      BV 5077000G  7                  M  44          1984</t>
        </is>
      </c>
      <c r="D871" t="inlineStr">
        <is>
          <t>The Medieval mystical tradition in England : papers read at Dartington Hall, July 1984 / edited by Marion Glasscoe.</t>
        </is>
      </c>
      <c r="F871" t="inlineStr">
        <is>
          <t>No</t>
        </is>
      </c>
      <c r="G871" t="inlineStr">
        <is>
          <t>1</t>
        </is>
      </c>
      <c r="H871" t="inlineStr">
        <is>
          <t>No</t>
        </is>
      </c>
      <c r="I871" t="inlineStr">
        <is>
          <t>No</t>
        </is>
      </c>
      <c r="J871" t="inlineStr">
        <is>
          <t>0</t>
        </is>
      </c>
      <c r="L871" t="inlineStr">
        <is>
          <t>Cambridge : D.S. Brewer, c1984.</t>
        </is>
      </c>
      <c r="M871" t="inlineStr">
        <is>
          <t>1984</t>
        </is>
      </c>
      <c r="O871" t="inlineStr">
        <is>
          <t>eng</t>
        </is>
      </c>
      <c r="P871" t="inlineStr">
        <is>
          <t>enk</t>
        </is>
      </c>
      <c r="R871" t="inlineStr">
        <is>
          <t xml:space="preserve">BV </t>
        </is>
      </c>
      <c r="S871" t="n">
        <v>7</v>
      </c>
      <c r="T871" t="n">
        <v>7</v>
      </c>
      <c r="U871" t="inlineStr">
        <is>
          <t>2000-03-13</t>
        </is>
      </c>
      <c r="V871" t="inlineStr">
        <is>
          <t>2000-03-13</t>
        </is>
      </c>
      <c r="W871" t="inlineStr">
        <is>
          <t>1992-03-18</t>
        </is>
      </c>
      <c r="X871" t="inlineStr">
        <is>
          <t>1992-03-18</t>
        </is>
      </c>
      <c r="Y871" t="n">
        <v>103</v>
      </c>
      <c r="Z871" t="n">
        <v>81</v>
      </c>
      <c r="AA871" t="n">
        <v>132</v>
      </c>
      <c r="AB871" t="n">
        <v>2</v>
      </c>
      <c r="AC871" t="n">
        <v>2</v>
      </c>
      <c r="AD871" t="n">
        <v>4</v>
      </c>
      <c r="AE871" t="n">
        <v>7</v>
      </c>
      <c r="AF871" t="n">
        <v>0</v>
      </c>
      <c r="AG871" t="n">
        <v>0</v>
      </c>
      <c r="AH871" t="n">
        <v>1</v>
      </c>
      <c r="AI871" t="n">
        <v>3</v>
      </c>
      <c r="AJ871" t="n">
        <v>3</v>
      </c>
      <c r="AK871" t="n">
        <v>5</v>
      </c>
      <c r="AL871" t="n">
        <v>1</v>
      </c>
      <c r="AM871" t="n">
        <v>1</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HYPERLINK("https://creighton-primo.hosted.exlibrisgroup.com/primo-explore/search?tab=default_tab&amp;search_scope=EVERYTHING&amp;vid=01CRU&amp;lang=en_US&amp;offset=0&amp;query=any,contains,991000524019702656","Catalog Record")</f>
        <v/>
      </c>
      <c r="AT871">
        <f>HYPERLINK("http://www.worldcat.org/oclc/12519549","WorldCat Record")</f>
        <v/>
      </c>
      <c r="AU871" t="inlineStr">
        <is>
          <t>5377490415:eng</t>
        </is>
      </c>
      <c r="AV871" t="inlineStr">
        <is>
          <t>12519549</t>
        </is>
      </c>
      <c r="AW871" t="inlineStr">
        <is>
          <t>991000524019702656</t>
        </is>
      </c>
      <c r="AX871" t="inlineStr">
        <is>
          <t>991000524019702656</t>
        </is>
      </c>
      <c r="AY871" t="inlineStr">
        <is>
          <t>2267453500002656</t>
        </is>
      </c>
      <c r="AZ871" t="inlineStr">
        <is>
          <t>BOOK</t>
        </is>
      </c>
      <c r="BB871" t="inlineStr">
        <is>
          <t>9780859911603</t>
        </is>
      </c>
      <c r="BC871" t="inlineStr">
        <is>
          <t>32285001015261</t>
        </is>
      </c>
      <c r="BD871" t="inlineStr">
        <is>
          <t>893508859</t>
        </is>
      </c>
    </row>
    <row r="872">
      <c r="A872" t="inlineStr">
        <is>
          <t>No</t>
        </is>
      </c>
      <c r="B872" t="inlineStr">
        <is>
          <t>BV5077.G7 P4 1958</t>
        </is>
      </c>
      <c r="C872" t="inlineStr">
        <is>
          <t>0                      BV 5077000G  7                  P  4           1958</t>
        </is>
      </c>
      <c r="D872" t="inlineStr">
        <is>
          <t>The English religious heritage / by Conrad Pepler.</t>
        </is>
      </c>
      <c r="F872" t="inlineStr">
        <is>
          <t>No</t>
        </is>
      </c>
      <c r="G872" t="inlineStr">
        <is>
          <t>1</t>
        </is>
      </c>
      <c r="H872" t="inlineStr">
        <is>
          <t>No</t>
        </is>
      </c>
      <c r="I872" t="inlineStr">
        <is>
          <t>No</t>
        </is>
      </c>
      <c r="J872" t="inlineStr">
        <is>
          <t>0</t>
        </is>
      </c>
      <c r="K872" t="inlineStr">
        <is>
          <t>Pepler, Conrad.</t>
        </is>
      </c>
      <c r="L872" t="inlineStr">
        <is>
          <t>St. Louis : Herder, [1958]</t>
        </is>
      </c>
      <c r="M872" t="inlineStr">
        <is>
          <t>1958</t>
        </is>
      </c>
      <c r="O872" t="inlineStr">
        <is>
          <t>eng</t>
        </is>
      </c>
      <c r="P872" t="inlineStr">
        <is>
          <t>___</t>
        </is>
      </c>
      <c r="R872" t="inlineStr">
        <is>
          <t xml:space="preserve">BV </t>
        </is>
      </c>
      <c r="S872" t="n">
        <v>5</v>
      </c>
      <c r="T872" t="n">
        <v>5</v>
      </c>
      <c r="U872" t="inlineStr">
        <is>
          <t>1999-03-24</t>
        </is>
      </c>
      <c r="V872" t="inlineStr">
        <is>
          <t>1999-03-24</t>
        </is>
      </c>
      <c r="W872" t="inlineStr">
        <is>
          <t>1992-03-18</t>
        </is>
      </c>
      <c r="X872" t="inlineStr">
        <is>
          <t>1992-03-18</t>
        </is>
      </c>
      <c r="Y872" t="n">
        <v>278</v>
      </c>
      <c r="Z872" t="n">
        <v>254</v>
      </c>
      <c r="AA872" t="n">
        <v>314</v>
      </c>
      <c r="AB872" t="n">
        <v>5</v>
      </c>
      <c r="AC872" t="n">
        <v>5</v>
      </c>
      <c r="AD872" t="n">
        <v>25</v>
      </c>
      <c r="AE872" t="n">
        <v>30</v>
      </c>
      <c r="AF872" t="n">
        <v>6</v>
      </c>
      <c r="AG872" t="n">
        <v>7</v>
      </c>
      <c r="AH872" t="n">
        <v>7</v>
      </c>
      <c r="AI872" t="n">
        <v>8</v>
      </c>
      <c r="AJ872" t="n">
        <v>17</v>
      </c>
      <c r="AK872" t="n">
        <v>22</v>
      </c>
      <c r="AL872" t="n">
        <v>2</v>
      </c>
      <c r="AM872" t="n">
        <v>2</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HYPERLINK("https://creighton-primo.hosted.exlibrisgroup.com/primo-explore/search?tab=default_tab&amp;search_scope=EVERYTHING&amp;vid=01CRU&amp;lang=en_US&amp;offset=0&amp;query=any,contains,991003795119702656","Catalog Record")</f>
        <v/>
      </c>
      <c r="AT872">
        <f>HYPERLINK("http://www.worldcat.org/oclc/1516290","WorldCat Record")</f>
        <v/>
      </c>
      <c r="AU872" t="inlineStr">
        <is>
          <t>217323233:eng</t>
        </is>
      </c>
      <c r="AV872" t="inlineStr">
        <is>
          <t>1516290</t>
        </is>
      </c>
      <c r="AW872" t="inlineStr">
        <is>
          <t>991003795119702656</t>
        </is>
      </c>
      <c r="AX872" t="inlineStr">
        <is>
          <t>991003795119702656</t>
        </is>
      </c>
      <c r="AY872" t="inlineStr">
        <is>
          <t>2261949750002656</t>
        </is>
      </c>
      <c r="AZ872" t="inlineStr">
        <is>
          <t>BOOK</t>
        </is>
      </c>
      <c r="BC872" t="inlineStr">
        <is>
          <t>32285001015279</t>
        </is>
      </c>
      <c r="BD872" t="inlineStr">
        <is>
          <t>893518876</t>
        </is>
      </c>
    </row>
    <row r="873">
      <c r="A873" t="inlineStr">
        <is>
          <t>No</t>
        </is>
      </c>
      <c r="B873" t="inlineStr">
        <is>
          <t>BV5077.G7 W3 1965</t>
        </is>
      </c>
      <c r="C873" t="inlineStr">
        <is>
          <t>0                      BV 5077000G  7                  W  3           1965</t>
        </is>
      </c>
      <c r="D873" t="inlineStr">
        <is>
          <t>Pre-Reformation English spirituality / edited and introduced by James Walsh, S.J.</t>
        </is>
      </c>
      <c r="F873" t="inlineStr">
        <is>
          <t>No</t>
        </is>
      </c>
      <c r="G873" t="inlineStr">
        <is>
          <t>1</t>
        </is>
      </c>
      <c r="H873" t="inlineStr">
        <is>
          <t>No</t>
        </is>
      </c>
      <c r="I873" t="inlineStr">
        <is>
          <t>No</t>
        </is>
      </c>
      <c r="J873" t="inlineStr">
        <is>
          <t>0</t>
        </is>
      </c>
      <c r="K873" t="inlineStr">
        <is>
          <t>Walsh, James, 1920-1986, editor.</t>
        </is>
      </c>
      <c r="L873" t="inlineStr">
        <is>
          <t>London : Burns &amp; Oates, [1965]</t>
        </is>
      </c>
      <c r="M873" t="inlineStr">
        <is>
          <t>1965</t>
        </is>
      </c>
      <c r="O873" t="inlineStr">
        <is>
          <t>eng</t>
        </is>
      </c>
      <c r="P873" t="inlineStr">
        <is>
          <t>enk</t>
        </is>
      </c>
      <c r="R873" t="inlineStr">
        <is>
          <t xml:space="preserve">BV </t>
        </is>
      </c>
      <c r="S873" t="n">
        <v>3</v>
      </c>
      <c r="T873" t="n">
        <v>3</v>
      </c>
      <c r="U873" t="inlineStr">
        <is>
          <t>2010-09-20</t>
        </is>
      </c>
      <c r="V873" t="inlineStr">
        <is>
          <t>2010-09-20</t>
        </is>
      </c>
      <c r="W873" t="inlineStr">
        <is>
          <t>1992-03-18</t>
        </is>
      </c>
      <c r="X873" t="inlineStr">
        <is>
          <t>1992-03-18</t>
        </is>
      </c>
      <c r="Y873" t="n">
        <v>106</v>
      </c>
      <c r="Z873" t="n">
        <v>41</v>
      </c>
      <c r="AA873" t="n">
        <v>378</v>
      </c>
      <c r="AB873" t="n">
        <v>1</v>
      </c>
      <c r="AC873" t="n">
        <v>1</v>
      </c>
      <c r="AD873" t="n">
        <v>2</v>
      </c>
      <c r="AE873" t="n">
        <v>29</v>
      </c>
      <c r="AF873" t="n">
        <v>1</v>
      </c>
      <c r="AG873" t="n">
        <v>9</v>
      </c>
      <c r="AH873" t="n">
        <v>0</v>
      </c>
      <c r="AI873" t="n">
        <v>10</v>
      </c>
      <c r="AJ873" t="n">
        <v>2</v>
      </c>
      <c r="AK873" t="n">
        <v>20</v>
      </c>
      <c r="AL873" t="n">
        <v>0</v>
      </c>
      <c r="AM873" t="n">
        <v>0</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HYPERLINK("https://creighton-primo.hosted.exlibrisgroup.com/primo-explore/search?tab=default_tab&amp;search_scope=EVERYTHING&amp;vid=01CRU&amp;lang=en_US&amp;offset=0&amp;query=any,contains,991004627969702656","Catalog Record")</f>
        <v/>
      </c>
      <c r="AT873">
        <f>HYPERLINK("http://www.worldcat.org/oclc/4352754","WorldCat Record")</f>
        <v/>
      </c>
      <c r="AU873" t="inlineStr">
        <is>
          <t>1468720:eng</t>
        </is>
      </c>
      <c r="AV873" t="inlineStr">
        <is>
          <t>4352754</t>
        </is>
      </c>
      <c r="AW873" t="inlineStr">
        <is>
          <t>991004627969702656</t>
        </is>
      </c>
      <c r="AX873" t="inlineStr">
        <is>
          <t>991004627969702656</t>
        </is>
      </c>
      <c r="AY873" t="inlineStr">
        <is>
          <t>2269034270002656</t>
        </is>
      </c>
      <c r="AZ873" t="inlineStr">
        <is>
          <t>BOOK</t>
        </is>
      </c>
      <c r="BC873" t="inlineStr">
        <is>
          <t>32285001015287</t>
        </is>
      </c>
      <c r="BD873" t="inlineStr">
        <is>
          <t>893706638</t>
        </is>
      </c>
    </row>
    <row r="874">
      <c r="A874" t="inlineStr">
        <is>
          <t>No</t>
        </is>
      </c>
      <c r="B874" t="inlineStr">
        <is>
          <t>BV5077.R8 B6413 1976</t>
        </is>
      </c>
      <c r="C874" t="inlineStr">
        <is>
          <t>0                      BV 5077000R  8                  B  6413        1976</t>
        </is>
      </c>
      <c r="D874" t="inlineStr">
        <is>
          <t>Russian mystics / by Sergius Bolshakoff ; introd. by Thomas Merton.</t>
        </is>
      </c>
      <c r="F874" t="inlineStr">
        <is>
          <t>No</t>
        </is>
      </c>
      <c r="G874" t="inlineStr">
        <is>
          <t>1</t>
        </is>
      </c>
      <c r="H874" t="inlineStr">
        <is>
          <t>No</t>
        </is>
      </c>
      <c r="I874" t="inlineStr">
        <is>
          <t>No</t>
        </is>
      </c>
      <c r="J874" t="inlineStr">
        <is>
          <t>0</t>
        </is>
      </c>
      <c r="K874" t="inlineStr">
        <is>
          <t>Bolshakoff, Serge.</t>
        </is>
      </c>
      <c r="L874" t="inlineStr">
        <is>
          <t>Kalamazoo, Mich. : Cistercian Publications, c1976</t>
        </is>
      </c>
      <c r="M874" t="inlineStr">
        <is>
          <t>1976</t>
        </is>
      </c>
      <c r="O874" t="inlineStr">
        <is>
          <t>eng</t>
        </is>
      </c>
      <c r="P874" t="inlineStr">
        <is>
          <t>miu</t>
        </is>
      </c>
      <c r="Q874" t="inlineStr">
        <is>
          <t>Cistercian studies series ; no. 26</t>
        </is>
      </c>
      <c r="R874" t="inlineStr">
        <is>
          <t xml:space="preserve">BV </t>
        </is>
      </c>
      <c r="S874" t="n">
        <v>4</v>
      </c>
      <c r="T874" t="n">
        <v>4</v>
      </c>
      <c r="U874" t="inlineStr">
        <is>
          <t>2002-06-09</t>
        </is>
      </c>
      <c r="V874" t="inlineStr">
        <is>
          <t>2002-06-09</t>
        </is>
      </c>
      <c r="W874" t="inlineStr">
        <is>
          <t>1999-01-21</t>
        </is>
      </c>
      <c r="X874" t="inlineStr">
        <is>
          <t>1999-01-21</t>
        </is>
      </c>
      <c r="Y874" t="n">
        <v>436</v>
      </c>
      <c r="Z874" t="n">
        <v>338</v>
      </c>
      <c r="AA874" t="n">
        <v>389</v>
      </c>
      <c r="AB874" t="n">
        <v>3</v>
      </c>
      <c r="AC874" t="n">
        <v>3</v>
      </c>
      <c r="AD874" t="n">
        <v>31</v>
      </c>
      <c r="AE874" t="n">
        <v>31</v>
      </c>
      <c r="AF874" t="n">
        <v>11</v>
      </c>
      <c r="AG874" t="n">
        <v>11</v>
      </c>
      <c r="AH874" t="n">
        <v>7</v>
      </c>
      <c r="AI874" t="n">
        <v>7</v>
      </c>
      <c r="AJ874" t="n">
        <v>20</v>
      </c>
      <c r="AK874" t="n">
        <v>20</v>
      </c>
      <c r="AL874" t="n">
        <v>2</v>
      </c>
      <c r="AM874" t="n">
        <v>2</v>
      </c>
      <c r="AN874" t="n">
        <v>0</v>
      </c>
      <c r="AO874" t="n">
        <v>0</v>
      </c>
      <c r="AP874" t="inlineStr">
        <is>
          <t>No</t>
        </is>
      </c>
      <c r="AQ874" t="inlineStr">
        <is>
          <t>Yes</t>
        </is>
      </c>
      <c r="AR874">
        <f>HYPERLINK("http://catalog.hathitrust.org/Record/000172250","HathiTrust Record")</f>
        <v/>
      </c>
      <c r="AS874">
        <f>HYPERLINK("https://creighton-primo.hosted.exlibrisgroup.com/primo-explore/search?tab=default_tab&amp;search_scope=EVERYTHING&amp;vid=01CRU&amp;lang=en_US&amp;offset=0&amp;query=any,contains,991004233969702656","Catalog Record")</f>
        <v/>
      </c>
      <c r="AT874">
        <f>HYPERLINK("http://www.worldcat.org/oclc/2758314","WorldCat Record")</f>
        <v/>
      </c>
      <c r="AU874" t="inlineStr">
        <is>
          <t>583340:eng</t>
        </is>
      </c>
      <c r="AV874" t="inlineStr">
        <is>
          <t>2758314</t>
        </is>
      </c>
      <c r="AW874" t="inlineStr">
        <is>
          <t>991004233969702656</t>
        </is>
      </c>
      <c r="AX874" t="inlineStr">
        <is>
          <t>991004233969702656</t>
        </is>
      </c>
      <c r="AY874" t="inlineStr">
        <is>
          <t>2261620530002656</t>
        </is>
      </c>
      <c r="AZ874" t="inlineStr">
        <is>
          <t>BOOK</t>
        </is>
      </c>
      <c r="BB874" t="inlineStr">
        <is>
          <t>9780879078263</t>
        </is>
      </c>
      <c r="BC874" t="inlineStr">
        <is>
          <t>32285003515003</t>
        </is>
      </c>
      <c r="BD874" t="inlineStr">
        <is>
          <t>893429815</t>
        </is>
      </c>
    </row>
    <row r="875">
      <c r="A875" t="inlineStr">
        <is>
          <t>No</t>
        </is>
      </c>
      <c r="B875" t="inlineStr">
        <is>
          <t>BV5077.S7 H35 2002</t>
        </is>
      </c>
      <c r="C875" t="inlineStr">
        <is>
          <t>0                      BV 5077000S  7                  H  35          2002</t>
        </is>
      </c>
      <c r="D875" t="inlineStr">
        <is>
          <t>Between exaltation and infamy : female mystics in the golden age of Spain / Stephen Haliczer.</t>
        </is>
      </c>
      <c r="F875" t="inlineStr">
        <is>
          <t>No</t>
        </is>
      </c>
      <c r="G875" t="inlineStr">
        <is>
          <t>1</t>
        </is>
      </c>
      <c r="H875" t="inlineStr">
        <is>
          <t>No</t>
        </is>
      </c>
      <c r="I875" t="inlineStr">
        <is>
          <t>No</t>
        </is>
      </c>
      <c r="J875" t="inlineStr">
        <is>
          <t>0</t>
        </is>
      </c>
      <c r="K875" t="inlineStr">
        <is>
          <t>Haliczer, Stephen, 1942-</t>
        </is>
      </c>
      <c r="L875" t="inlineStr">
        <is>
          <t>Oxford ; New York : Oxford University Press, 2002.</t>
        </is>
      </c>
      <c r="M875" t="inlineStr">
        <is>
          <t>2002</t>
        </is>
      </c>
      <c r="O875" t="inlineStr">
        <is>
          <t>eng</t>
        </is>
      </c>
      <c r="P875" t="inlineStr">
        <is>
          <t>enk</t>
        </is>
      </c>
      <c r="R875" t="inlineStr">
        <is>
          <t xml:space="preserve">BV </t>
        </is>
      </c>
      <c r="S875" t="n">
        <v>5</v>
      </c>
      <c r="T875" t="n">
        <v>5</v>
      </c>
      <c r="U875" t="inlineStr">
        <is>
          <t>2010-09-13</t>
        </is>
      </c>
      <c r="V875" t="inlineStr">
        <is>
          <t>2010-09-13</t>
        </is>
      </c>
      <c r="W875" t="inlineStr">
        <is>
          <t>2003-12-15</t>
        </is>
      </c>
      <c r="X875" t="inlineStr">
        <is>
          <t>2003-12-15</t>
        </is>
      </c>
      <c r="Y875" t="n">
        <v>358</v>
      </c>
      <c r="Z875" t="n">
        <v>296</v>
      </c>
      <c r="AA875" t="n">
        <v>374</v>
      </c>
      <c r="AB875" t="n">
        <v>2</v>
      </c>
      <c r="AC875" t="n">
        <v>2</v>
      </c>
      <c r="AD875" t="n">
        <v>18</v>
      </c>
      <c r="AE875" t="n">
        <v>20</v>
      </c>
      <c r="AF875" t="n">
        <v>5</v>
      </c>
      <c r="AG875" t="n">
        <v>5</v>
      </c>
      <c r="AH875" t="n">
        <v>6</v>
      </c>
      <c r="AI875" t="n">
        <v>7</v>
      </c>
      <c r="AJ875" t="n">
        <v>12</v>
      </c>
      <c r="AK875" t="n">
        <v>13</v>
      </c>
      <c r="AL875" t="n">
        <v>1</v>
      </c>
      <c r="AM875" t="n">
        <v>1</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HYPERLINK("https://creighton-primo.hosted.exlibrisgroup.com/primo-explore/search?tab=default_tab&amp;search_scope=EVERYTHING&amp;vid=01CRU&amp;lang=en_US&amp;offset=0&amp;query=any,contains,991004165779702656","Catalog Record")</f>
        <v/>
      </c>
      <c r="AT875">
        <f>HYPERLINK("http://www.worldcat.org/oclc/47091970","WorldCat Record")</f>
        <v/>
      </c>
      <c r="AU875" t="inlineStr">
        <is>
          <t>9529452:eng</t>
        </is>
      </c>
      <c r="AV875" t="inlineStr">
        <is>
          <t>47091970</t>
        </is>
      </c>
      <c r="AW875" t="inlineStr">
        <is>
          <t>991004165779702656</t>
        </is>
      </c>
      <c r="AX875" t="inlineStr">
        <is>
          <t>991004165779702656</t>
        </is>
      </c>
      <c r="AY875" t="inlineStr">
        <is>
          <t>2271223460002656</t>
        </is>
      </c>
      <c r="AZ875" t="inlineStr">
        <is>
          <t>BOOK</t>
        </is>
      </c>
      <c r="BB875" t="inlineStr">
        <is>
          <t>9780195148510</t>
        </is>
      </c>
      <c r="BC875" t="inlineStr">
        <is>
          <t>32285004846555</t>
        </is>
      </c>
      <c r="BD875" t="inlineStr">
        <is>
          <t>893706063</t>
        </is>
      </c>
    </row>
    <row r="876">
      <c r="A876" t="inlineStr">
        <is>
          <t>No</t>
        </is>
      </c>
      <c r="B876" t="inlineStr">
        <is>
          <t>BV5077.S7 M4 1956</t>
        </is>
      </c>
      <c r="C876" t="inlineStr">
        <is>
          <t>0                      BV 5077000S  7                  M  4           1956</t>
        </is>
      </c>
      <c r="D876" t="inlineStr">
        <is>
          <t>La mística española / M. Menendez Pelayo ; edicion y estudio preliminar de Pedro Sáinz Rodríguez.</t>
        </is>
      </c>
      <c r="F876" t="inlineStr">
        <is>
          <t>No</t>
        </is>
      </c>
      <c r="G876" t="inlineStr">
        <is>
          <t>1</t>
        </is>
      </c>
      <c r="H876" t="inlineStr">
        <is>
          <t>No</t>
        </is>
      </c>
      <c r="I876" t="inlineStr">
        <is>
          <t>No</t>
        </is>
      </c>
      <c r="J876" t="inlineStr">
        <is>
          <t>0</t>
        </is>
      </c>
      <c r="K876" t="inlineStr">
        <is>
          <t>Menéndez y Pelayo, Marcelino, 1856-1912.</t>
        </is>
      </c>
      <c r="L876" t="inlineStr">
        <is>
          <t>Madrid : A. Aguado, [1956]</t>
        </is>
      </c>
      <c r="M876" t="inlineStr">
        <is>
          <t>1956</t>
        </is>
      </c>
      <c r="O876" t="inlineStr">
        <is>
          <t>spa</t>
        </is>
      </c>
      <c r="P876" t="inlineStr">
        <is>
          <t xml:space="preserve">sp </t>
        </is>
      </c>
      <c r="Q876" t="inlineStr">
        <is>
          <t>Clásicos y maestros</t>
        </is>
      </c>
      <c r="R876" t="inlineStr">
        <is>
          <t xml:space="preserve">BV </t>
        </is>
      </c>
      <c r="S876" t="n">
        <v>2</v>
      </c>
      <c r="T876" t="n">
        <v>2</v>
      </c>
      <c r="U876" t="inlineStr">
        <is>
          <t>2007-02-12</t>
        </is>
      </c>
      <c r="V876" t="inlineStr">
        <is>
          <t>2007-02-12</t>
        </is>
      </c>
      <c r="W876" t="inlineStr">
        <is>
          <t>2005-03-23</t>
        </is>
      </c>
      <c r="X876" t="inlineStr">
        <is>
          <t>2005-03-23</t>
        </is>
      </c>
      <c r="Y876" t="n">
        <v>239</v>
      </c>
      <c r="Z876" t="n">
        <v>202</v>
      </c>
      <c r="AA876" t="n">
        <v>207</v>
      </c>
      <c r="AB876" t="n">
        <v>2</v>
      </c>
      <c r="AC876" t="n">
        <v>2</v>
      </c>
      <c r="AD876" t="n">
        <v>13</v>
      </c>
      <c r="AE876" t="n">
        <v>13</v>
      </c>
      <c r="AF876" t="n">
        <v>7</v>
      </c>
      <c r="AG876" t="n">
        <v>7</v>
      </c>
      <c r="AH876" t="n">
        <v>1</v>
      </c>
      <c r="AI876" t="n">
        <v>1</v>
      </c>
      <c r="AJ876" t="n">
        <v>8</v>
      </c>
      <c r="AK876" t="n">
        <v>8</v>
      </c>
      <c r="AL876" t="n">
        <v>1</v>
      </c>
      <c r="AM876" t="n">
        <v>1</v>
      </c>
      <c r="AN876" t="n">
        <v>0</v>
      </c>
      <c r="AO876" t="n">
        <v>0</v>
      </c>
      <c r="AP876" t="inlineStr">
        <is>
          <t>No</t>
        </is>
      </c>
      <c r="AQ876" t="inlineStr">
        <is>
          <t>Yes</t>
        </is>
      </c>
      <c r="AR876">
        <f>HYPERLINK("http://catalog.hathitrust.org/Record/001931834","HathiTrust Record")</f>
        <v/>
      </c>
      <c r="AS876">
        <f>HYPERLINK("https://creighton-primo.hosted.exlibrisgroup.com/primo-explore/search?tab=default_tab&amp;search_scope=EVERYTHING&amp;vid=01CRU&amp;lang=en_US&amp;offset=0&amp;query=any,contains,991004509409702656","Catalog Record")</f>
        <v/>
      </c>
      <c r="AT876">
        <f>HYPERLINK("http://www.worldcat.org/oclc/904868","WorldCat Record")</f>
        <v/>
      </c>
      <c r="AU876" t="inlineStr">
        <is>
          <t>365684052:spa</t>
        </is>
      </c>
      <c r="AV876" t="inlineStr">
        <is>
          <t>904868</t>
        </is>
      </c>
      <c r="AW876" t="inlineStr">
        <is>
          <t>991004509409702656</t>
        </is>
      </c>
      <c r="AX876" t="inlineStr">
        <is>
          <t>991004509409702656</t>
        </is>
      </c>
      <c r="AY876" t="inlineStr">
        <is>
          <t>2263753560002656</t>
        </is>
      </c>
      <c r="AZ876" t="inlineStr">
        <is>
          <t>BOOK</t>
        </is>
      </c>
      <c r="BC876" t="inlineStr">
        <is>
          <t>32285005044416</t>
        </is>
      </c>
      <c r="BD876" t="inlineStr">
        <is>
          <t>893807152</t>
        </is>
      </c>
    </row>
    <row r="877">
      <c r="A877" t="inlineStr">
        <is>
          <t>No</t>
        </is>
      </c>
      <c r="B877" t="inlineStr">
        <is>
          <t>BV5077.S7 P38 1951</t>
        </is>
      </c>
      <c r="C877" t="inlineStr">
        <is>
          <t>0                      BV 5077000S  7                  P  38          1951</t>
        </is>
      </c>
      <c r="D877" t="inlineStr">
        <is>
          <t>The mystics of Spain / by E. Allison Peers.</t>
        </is>
      </c>
      <c r="F877" t="inlineStr">
        <is>
          <t>No</t>
        </is>
      </c>
      <c r="G877" t="inlineStr">
        <is>
          <t>1</t>
        </is>
      </c>
      <c r="H877" t="inlineStr">
        <is>
          <t>No</t>
        </is>
      </c>
      <c r="I877" t="inlineStr">
        <is>
          <t>No</t>
        </is>
      </c>
      <c r="J877" t="inlineStr">
        <is>
          <t>0</t>
        </is>
      </c>
      <c r="K877" t="inlineStr">
        <is>
          <t>Peers, E. Allison (Edgar Allison), 1891-1952.</t>
        </is>
      </c>
      <c r="L877" t="inlineStr">
        <is>
          <t>London : Allen &amp; Unwin, [1951]</t>
        </is>
      </c>
      <c r="M877" t="inlineStr">
        <is>
          <t>1951</t>
        </is>
      </c>
      <c r="O877" t="inlineStr">
        <is>
          <t>eng</t>
        </is>
      </c>
      <c r="P877" t="inlineStr">
        <is>
          <t>___</t>
        </is>
      </c>
      <c r="Q877" t="inlineStr">
        <is>
          <t>Ethical and religious classics of the East and West, no.5</t>
        </is>
      </c>
      <c r="R877" t="inlineStr">
        <is>
          <t xml:space="preserve">BV </t>
        </is>
      </c>
      <c r="S877" t="n">
        <v>9</v>
      </c>
      <c r="T877" t="n">
        <v>9</v>
      </c>
      <c r="U877" t="inlineStr">
        <is>
          <t>2010-11-29</t>
        </is>
      </c>
      <c r="V877" t="inlineStr">
        <is>
          <t>2010-11-29</t>
        </is>
      </c>
      <c r="W877" t="inlineStr">
        <is>
          <t>1992-03-18</t>
        </is>
      </c>
      <c r="X877" t="inlineStr">
        <is>
          <t>1992-03-18</t>
        </is>
      </c>
      <c r="Y877" t="n">
        <v>367</v>
      </c>
      <c r="Z877" t="n">
        <v>289</v>
      </c>
      <c r="AA877" t="n">
        <v>334</v>
      </c>
      <c r="AB877" t="n">
        <v>3</v>
      </c>
      <c r="AC877" t="n">
        <v>4</v>
      </c>
      <c r="AD877" t="n">
        <v>23</v>
      </c>
      <c r="AE877" t="n">
        <v>25</v>
      </c>
      <c r="AF877" t="n">
        <v>9</v>
      </c>
      <c r="AG877" t="n">
        <v>10</v>
      </c>
      <c r="AH877" t="n">
        <v>4</v>
      </c>
      <c r="AI877" t="n">
        <v>5</v>
      </c>
      <c r="AJ877" t="n">
        <v>14</v>
      </c>
      <c r="AK877" t="n">
        <v>14</v>
      </c>
      <c r="AL877" t="n">
        <v>2</v>
      </c>
      <c r="AM877" t="n">
        <v>3</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HYPERLINK("https://creighton-primo.hosted.exlibrisgroup.com/primo-explore/search?tab=default_tab&amp;search_scope=EVERYTHING&amp;vid=01CRU&amp;lang=en_US&amp;offset=0&amp;query=any,contains,991002904069702656","Catalog Record")</f>
        <v/>
      </c>
      <c r="AT877">
        <f>HYPERLINK("http://www.worldcat.org/oclc/518612","WorldCat Record")</f>
        <v/>
      </c>
      <c r="AU877" t="inlineStr">
        <is>
          <t>5090361110:eng</t>
        </is>
      </c>
      <c r="AV877" t="inlineStr">
        <is>
          <t>518612</t>
        </is>
      </c>
      <c r="AW877" t="inlineStr">
        <is>
          <t>991002904069702656</t>
        </is>
      </c>
      <c r="AX877" t="inlineStr">
        <is>
          <t>991002904069702656</t>
        </is>
      </c>
      <c r="AY877" t="inlineStr">
        <is>
          <t>2255701460002656</t>
        </is>
      </c>
      <c r="AZ877" t="inlineStr">
        <is>
          <t>BOOK</t>
        </is>
      </c>
      <c r="BC877" t="inlineStr">
        <is>
          <t>32285001015311</t>
        </is>
      </c>
      <c r="BD877" t="inlineStr">
        <is>
          <t>893227417</t>
        </is>
      </c>
    </row>
    <row r="878">
      <c r="A878" t="inlineStr">
        <is>
          <t>No</t>
        </is>
      </c>
      <c r="B878" t="inlineStr">
        <is>
          <t>BV5077.S7 P45 1947</t>
        </is>
      </c>
      <c r="C878" t="inlineStr">
        <is>
          <t>0                      BV 5077000S  7                  P  45          1947</t>
        </is>
      </c>
      <c r="D878" t="inlineStr">
        <is>
          <t>El misticismo español / E. Allison Peers. [Traducción del inglés por Carlos Clavería.</t>
        </is>
      </c>
      <c r="F878" t="inlineStr">
        <is>
          <t>No</t>
        </is>
      </c>
      <c r="G878" t="inlineStr">
        <is>
          <t>1</t>
        </is>
      </c>
      <c r="H878" t="inlineStr">
        <is>
          <t>No</t>
        </is>
      </c>
      <c r="I878" t="inlineStr">
        <is>
          <t>No</t>
        </is>
      </c>
      <c r="J878" t="inlineStr">
        <is>
          <t>0</t>
        </is>
      </c>
      <c r="K878" t="inlineStr">
        <is>
          <t>Peers, E. Allison (Edgar Allison), 1891-1952.</t>
        </is>
      </c>
      <c r="L878" t="inlineStr">
        <is>
          <t>Buenos Aires : Espasa-Calpe Argentina, [1947]</t>
        </is>
      </c>
      <c r="M878" t="inlineStr">
        <is>
          <t>1947</t>
        </is>
      </c>
      <c r="N878" t="inlineStr">
        <is>
          <t>2.ed.]</t>
        </is>
      </c>
      <c r="O878" t="inlineStr">
        <is>
          <t>spa</t>
        </is>
      </c>
      <c r="P878" t="inlineStr">
        <is>
          <t>___</t>
        </is>
      </c>
      <c r="Q878" t="inlineStr">
        <is>
          <t>Colección Austral ; 671</t>
        </is>
      </c>
      <c r="R878" t="inlineStr">
        <is>
          <t xml:space="preserve">BV </t>
        </is>
      </c>
      <c r="S878" t="n">
        <v>2</v>
      </c>
      <c r="T878" t="n">
        <v>2</v>
      </c>
      <c r="U878" t="inlineStr">
        <is>
          <t>2007-02-12</t>
        </is>
      </c>
      <c r="V878" t="inlineStr">
        <is>
          <t>2007-02-12</t>
        </is>
      </c>
      <c r="W878" t="inlineStr">
        <is>
          <t>1992-03-18</t>
        </is>
      </c>
      <c r="X878" t="inlineStr">
        <is>
          <t>1992-03-18</t>
        </is>
      </c>
      <c r="Y878" t="n">
        <v>267</v>
      </c>
      <c r="Z878" t="n">
        <v>227</v>
      </c>
      <c r="AA878" t="n">
        <v>235</v>
      </c>
      <c r="AB878" t="n">
        <v>1</v>
      </c>
      <c r="AC878" t="n">
        <v>1</v>
      </c>
      <c r="AD878" t="n">
        <v>10</v>
      </c>
      <c r="AE878" t="n">
        <v>10</v>
      </c>
      <c r="AF878" t="n">
        <v>5</v>
      </c>
      <c r="AG878" t="n">
        <v>5</v>
      </c>
      <c r="AH878" t="n">
        <v>0</v>
      </c>
      <c r="AI878" t="n">
        <v>0</v>
      </c>
      <c r="AJ878" t="n">
        <v>7</v>
      </c>
      <c r="AK878" t="n">
        <v>7</v>
      </c>
      <c r="AL878" t="n">
        <v>0</v>
      </c>
      <c r="AM878" t="n">
        <v>0</v>
      </c>
      <c r="AN878" t="n">
        <v>0</v>
      </c>
      <c r="AO878" t="n">
        <v>0</v>
      </c>
      <c r="AP878" t="inlineStr">
        <is>
          <t>No</t>
        </is>
      </c>
      <c r="AQ878" t="inlineStr">
        <is>
          <t>Yes</t>
        </is>
      </c>
      <c r="AR878">
        <f>HYPERLINK("http://catalog.hathitrust.org/Record/007887514","HathiTrust Record")</f>
        <v/>
      </c>
      <c r="AS878">
        <f>HYPERLINK("https://creighton-primo.hosted.exlibrisgroup.com/primo-explore/search?tab=default_tab&amp;search_scope=EVERYTHING&amp;vid=01CRU&amp;lang=en_US&amp;offset=0&amp;query=any,contains,991003647869702656","Catalog Record")</f>
        <v/>
      </c>
      <c r="AT878">
        <f>HYPERLINK("http://www.worldcat.org/oclc/1250131","WorldCat Record")</f>
        <v/>
      </c>
      <c r="AU878" t="inlineStr">
        <is>
          <t>365665622:spa</t>
        </is>
      </c>
      <c r="AV878" t="inlineStr">
        <is>
          <t>1250131</t>
        </is>
      </c>
      <c r="AW878" t="inlineStr">
        <is>
          <t>991003647869702656</t>
        </is>
      </c>
      <c r="AX878" t="inlineStr">
        <is>
          <t>991003647869702656</t>
        </is>
      </c>
      <c r="AY878" t="inlineStr">
        <is>
          <t>2263159280002656</t>
        </is>
      </c>
      <c r="AZ878" t="inlineStr">
        <is>
          <t>BOOK</t>
        </is>
      </c>
      <c r="BC878" t="inlineStr">
        <is>
          <t>32285001015329</t>
        </is>
      </c>
      <c r="BD878" t="inlineStr">
        <is>
          <t>893416624</t>
        </is>
      </c>
    </row>
    <row r="879">
      <c r="A879" t="inlineStr">
        <is>
          <t>No</t>
        </is>
      </c>
      <c r="B879" t="inlineStr">
        <is>
          <t>BV5077.S7 R8 1946</t>
        </is>
      </c>
      <c r="C879" t="inlineStr">
        <is>
          <t>0                      BV 5077000S  7                  R  8           1946</t>
        </is>
      </c>
      <c r="D879" t="inlineStr">
        <is>
          <t>The mystic soul of Spain / by David Rubio.</t>
        </is>
      </c>
      <c r="F879" t="inlineStr">
        <is>
          <t>No</t>
        </is>
      </c>
      <c r="G879" t="inlineStr">
        <is>
          <t>1</t>
        </is>
      </c>
      <c r="H879" t="inlineStr">
        <is>
          <t>No</t>
        </is>
      </c>
      <c r="I879" t="inlineStr">
        <is>
          <t>No</t>
        </is>
      </c>
      <c r="J879" t="inlineStr">
        <is>
          <t>0</t>
        </is>
      </c>
      <c r="K879" t="inlineStr">
        <is>
          <t>Rubio, David, 1884-1962.</t>
        </is>
      </c>
      <c r="L879" t="inlineStr">
        <is>
          <t>New York : Cosmopolitan science &amp; art service co., inc., 1946.</t>
        </is>
      </c>
      <c r="M879" t="inlineStr">
        <is>
          <t>1946</t>
        </is>
      </c>
      <c r="O879" t="inlineStr">
        <is>
          <t>eng</t>
        </is>
      </c>
      <c r="P879" t="inlineStr">
        <is>
          <t>nyu</t>
        </is>
      </c>
      <c r="R879" t="inlineStr">
        <is>
          <t xml:space="preserve">BV </t>
        </is>
      </c>
      <c r="S879" t="n">
        <v>2</v>
      </c>
      <c r="T879" t="n">
        <v>2</v>
      </c>
      <c r="U879" t="inlineStr">
        <is>
          <t>2007-02-12</t>
        </is>
      </c>
      <c r="V879" t="inlineStr">
        <is>
          <t>2007-02-12</t>
        </is>
      </c>
      <c r="W879" t="inlineStr">
        <is>
          <t>1992-03-18</t>
        </is>
      </c>
      <c r="X879" t="inlineStr">
        <is>
          <t>1992-03-18</t>
        </is>
      </c>
      <c r="Y879" t="n">
        <v>165</v>
      </c>
      <c r="Z879" t="n">
        <v>157</v>
      </c>
      <c r="AA879" t="n">
        <v>163</v>
      </c>
      <c r="AB879" t="n">
        <v>4</v>
      </c>
      <c r="AC879" t="n">
        <v>4</v>
      </c>
      <c r="AD879" t="n">
        <v>19</v>
      </c>
      <c r="AE879" t="n">
        <v>19</v>
      </c>
      <c r="AF879" t="n">
        <v>3</v>
      </c>
      <c r="AG879" t="n">
        <v>3</v>
      </c>
      <c r="AH879" t="n">
        <v>5</v>
      </c>
      <c r="AI879" t="n">
        <v>5</v>
      </c>
      <c r="AJ879" t="n">
        <v>11</v>
      </c>
      <c r="AK879" t="n">
        <v>11</v>
      </c>
      <c r="AL879" t="n">
        <v>3</v>
      </c>
      <c r="AM879" t="n">
        <v>3</v>
      </c>
      <c r="AN879" t="n">
        <v>0</v>
      </c>
      <c r="AO879" t="n">
        <v>0</v>
      </c>
      <c r="AP879" t="inlineStr">
        <is>
          <t>Yes</t>
        </is>
      </c>
      <c r="AQ879" t="inlineStr">
        <is>
          <t>No</t>
        </is>
      </c>
      <c r="AR879">
        <f>HYPERLINK("http://catalog.hathitrust.org/Record/001415055","HathiTrust Record")</f>
        <v/>
      </c>
      <c r="AS879">
        <f>HYPERLINK("https://creighton-primo.hosted.exlibrisgroup.com/primo-explore/search?tab=default_tab&amp;search_scope=EVERYTHING&amp;vid=01CRU&amp;lang=en_US&amp;offset=0&amp;query=any,contains,991003643999702656","Catalog Record")</f>
        <v/>
      </c>
      <c r="AT879">
        <f>HYPERLINK("http://www.worldcat.org/oclc/1243380","WorldCat Record")</f>
        <v/>
      </c>
      <c r="AU879" t="inlineStr">
        <is>
          <t>505393333:eng</t>
        </is>
      </c>
      <c r="AV879" t="inlineStr">
        <is>
          <t>1243380</t>
        </is>
      </c>
      <c r="AW879" t="inlineStr">
        <is>
          <t>991003643999702656</t>
        </is>
      </c>
      <c r="AX879" t="inlineStr">
        <is>
          <t>991003643999702656</t>
        </is>
      </c>
      <c r="AY879" t="inlineStr">
        <is>
          <t>2261391900002656</t>
        </is>
      </c>
      <c r="AZ879" t="inlineStr">
        <is>
          <t>BOOK</t>
        </is>
      </c>
      <c r="BC879" t="inlineStr">
        <is>
          <t>32285001015337</t>
        </is>
      </c>
      <c r="BD879" t="inlineStr">
        <is>
          <t>893617555</t>
        </is>
      </c>
    </row>
    <row r="880">
      <c r="A880" t="inlineStr">
        <is>
          <t>No</t>
        </is>
      </c>
      <c r="B880" t="inlineStr">
        <is>
          <t>BV5080 .B484 1955</t>
        </is>
      </c>
      <c r="C880" t="inlineStr">
        <is>
          <t>0                      BV 5080000B  484         1955</t>
        </is>
      </c>
      <c r="D880" t="inlineStr">
        <is>
          <t>A book of spiritual instruction (Institutio spiritualis) / by Ludovicus Blosius. Translated from the Latin by Bertrand A. Wilberforce; edited by a Benedictine of Stanbrook Abbey.</t>
        </is>
      </c>
      <c r="F880" t="inlineStr">
        <is>
          <t>No</t>
        </is>
      </c>
      <c r="G880" t="inlineStr">
        <is>
          <t>1</t>
        </is>
      </c>
      <c r="H880" t="inlineStr">
        <is>
          <t>No</t>
        </is>
      </c>
      <c r="I880" t="inlineStr">
        <is>
          <t>No</t>
        </is>
      </c>
      <c r="J880" t="inlineStr">
        <is>
          <t>0</t>
        </is>
      </c>
      <c r="K880" t="inlineStr">
        <is>
          <t>Blois, Louis de, 1506-1566.</t>
        </is>
      </c>
      <c r="L880" t="inlineStr">
        <is>
          <t>Westminster, Md. : Newman Press, [1955]</t>
        </is>
      </c>
      <c r="M880" t="inlineStr">
        <is>
          <t>1955</t>
        </is>
      </c>
      <c r="N880" t="inlineStr">
        <is>
          <t>[Rev. ed.]</t>
        </is>
      </c>
      <c r="O880" t="inlineStr">
        <is>
          <t>eng</t>
        </is>
      </c>
      <c r="P880" t="inlineStr">
        <is>
          <t>mdu</t>
        </is>
      </c>
      <c r="Q880" t="inlineStr">
        <is>
          <t>The Orchard books</t>
        </is>
      </c>
      <c r="R880" t="inlineStr">
        <is>
          <t xml:space="preserve">BV </t>
        </is>
      </c>
      <c r="S880" t="n">
        <v>6</v>
      </c>
      <c r="T880" t="n">
        <v>6</v>
      </c>
      <c r="U880" t="inlineStr">
        <is>
          <t>2003-01-07</t>
        </is>
      </c>
      <c r="V880" t="inlineStr">
        <is>
          <t>2003-01-07</t>
        </is>
      </c>
      <c r="W880" t="inlineStr">
        <is>
          <t>1992-03-18</t>
        </is>
      </c>
      <c r="X880" t="inlineStr">
        <is>
          <t>1992-03-18</t>
        </is>
      </c>
      <c r="Y880" t="n">
        <v>67</v>
      </c>
      <c r="Z880" t="n">
        <v>65</v>
      </c>
      <c r="AA880" t="n">
        <v>92</v>
      </c>
      <c r="AB880" t="n">
        <v>2</v>
      </c>
      <c r="AC880" t="n">
        <v>2</v>
      </c>
      <c r="AD880" t="n">
        <v>13</v>
      </c>
      <c r="AE880" t="n">
        <v>19</v>
      </c>
      <c r="AF880" t="n">
        <v>2</v>
      </c>
      <c r="AG880" t="n">
        <v>4</v>
      </c>
      <c r="AH880" t="n">
        <v>3</v>
      </c>
      <c r="AI880" t="n">
        <v>5</v>
      </c>
      <c r="AJ880" t="n">
        <v>11</v>
      </c>
      <c r="AK880" t="n">
        <v>17</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HYPERLINK("https://creighton-primo.hosted.exlibrisgroup.com/primo-explore/search?tab=default_tab&amp;search_scope=EVERYTHING&amp;vid=01CRU&amp;lang=en_US&amp;offset=0&amp;query=any,contains,991004216489702656","Catalog Record")</f>
        <v/>
      </c>
      <c r="AT880">
        <f>HYPERLINK("http://www.worldcat.org/oclc/2696738","WorldCat Record")</f>
        <v/>
      </c>
      <c r="AU880" t="inlineStr">
        <is>
          <t>5992512:eng</t>
        </is>
      </c>
      <c r="AV880" t="inlineStr">
        <is>
          <t>2696738</t>
        </is>
      </c>
      <c r="AW880" t="inlineStr">
        <is>
          <t>991004216489702656</t>
        </is>
      </c>
      <c r="AX880" t="inlineStr">
        <is>
          <t>991004216489702656</t>
        </is>
      </c>
      <c r="AY880" t="inlineStr">
        <is>
          <t>2265193500002656</t>
        </is>
      </c>
      <c r="AZ880" t="inlineStr">
        <is>
          <t>BOOK</t>
        </is>
      </c>
      <c r="BC880" t="inlineStr">
        <is>
          <t>32285001015360</t>
        </is>
      </c>
      <c r="BD880" t="inlineStr">
        <is>
          <t>893593422</t>
        </is>
      </c>
    </row>
    <row r="881">
      <c r="A881" t="inlineStr">
        <is>
          <t>No</t>
        </is>
      </c>
      <c r="B881" t="inlineStr">
        <is>
          <t>BV5080 .C3 1874</t>
        </is>
      </c>
      <c r="C881" t="inlineStr">
        <is>
          <t>0                      BV 5080000C  3           1874</t>
        </is>
      </c>
      <c r="D881" t="inlineStr">
        <is>
          <t>L'Abandon a la Providence Divine / ouvrage posthume du P. J.-P. de Caussade ; augmentée de lettres et autres écrits encore inédits du même auteur ; le tout revu, corrigé et mis en ordre par le P. H. Ramière.</t>
        </is>
      </c>
      <c r="E881" t="inlineStr">
        <is>
          <t>V.1</t>
        </is>
      </c>
      <c r="F881" t="inlineStr">
        <is>
          <t>Yes</t>
        </is>
      </c>
      <c r="G881" t="inlineStr">
        <is>
          <t>1</t>
        </is>
      </c>
      <c r="H881" t="inlineStr">
        <is>
          <t>No</t>
        </is>
      </c>
      <c r="I881" t="inlineStr">
        <is>
          <t>No</t>
        </is>
      </c>
      <c r="J881" t="inlineStr">
        <is>
          <t>0</t>
        </is>
      </c>
      <c r="K881" t="inlineStr">
        <is>
          <t>Caussade, Jean Pierre de, -1751.</t>
        </is>
      </c>
      <c r="L881" t="inlineStr">
        <is>
          <t>Paris : Librairie Catholique de Perisse Frères, 1874.</t>
        </is>
      </c>
      <c r="M881" t="inlineStr">
        <is>
          <t>1874</t>
        </is>
      </c>
      <c r="N881" t="inlineStr">
        <is>
          <t>7 éd.</t>
        </is>
      </c>
      <c r="O881" t="inlineStr">
        <is>
          <t>fre</t>
        </is>
      </c>
      <c r="P881" t="inlineStr">
        <is>
          <t xml:space="preserve">fr </t>
        </is>
      </c>
      <c r="R881" t="inlineStr">
        <is>
          <t xml:space="preserve">BV </t>
        </is>
      </c>
      <c r="S881" t="n">
        <v>1</v>
      </c>
      <c r="T881" t="n">
        <v>1</v>
      </c>
      <c r="U881" t="inlineStr">
        <is>
          <t>2003-12-17</t>
        </is>
      </c>
      <c r="V881" t="inlineStr">
        <is>
          <t>2003-12-17</t>
        </is>
      </c>
      <c r="W881" t="inlineStr">
        <is>
          <t>1992-03-18</t>
        </is>
      </c>
      <c r="X881" t="inlineStr">
        <is>
          <t>1992-03-18</t>
        </is>
      </c>
      <c r="Y881" t="n">
        <v>7</v>
      </c>
      <c r="Z881" t="n">
        <v>6</v>
      </c>
      <c r="AA881" t="n">
        <v>41</v>
      </c>
      <c r="AB881" t="n">
        <v>1</v>
      </c>
      <c r="AC881" t="n">
        <v>1</v>
      </c>
      <c r="AD881" t="n">
        <v>2</v>
      </c>
      <c r="AE881" t="n">
        <v>10</v>
      </c>
      <c r="AF881" t="n">
        <v>1</v>
      </c>
      <c r="AG881" t="n">
        <v>2</v>
      </c>
      <c r="AH881" t="n">
        <v>0</v>
      </c>
      <c r="AI881" t="n">
        <v>1</v>
      </c>
      <c r="AJ881" t="n">
        <v>2</v>
      </c>
      <c r="AK881" t="n">
        <v>10</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HYPERLINK("https://creighton-primo.hosted.exlibrisgroup.com/primo-explore/search?tab=default_tab&amp;search_scope=EVERYTHING&amp;vid=01CRU&amp;lang=en_US&amp;offset=0&amp;query=any,contains,991004494109702656","Catalog Record")</f>
        <v/>
      </c>
      <c r="AT881">
        <f>HYPERLINK("http://www.worldcat.org/oclc/3681902","WorldCat Record")</f>
        <v/>
      </c>
      <c r="AU881" t="inlineStr">
        <is>
          <t>403710:fre</t>
        </is>
      </c>
      <c r="AV881" t="inlineStr">
        <is>
          <t>3681902</t>
        </is>
      </c>
      <c r="AW881" t="inlineStr">
        <is>
          <t>991004494109702656</t>
        </is>
      </c>
      <c r="AX881" t="inlineStr">
        <is>
          <t>991004494109702656</t>
        </is>
      </c>
      <c r="AY881" t="inlineStr">
        <is>
          <t>2259993940002656</t>
        </is>
      </c>
      <c r="AZ881" t="inlineStr">
        <is>
          <t>BOOK</t>
        </is>
      </c>
      <c r="BC881" t="inlineStr">
        <is>
          <t>32285001015402</t>
        </is>
      </c>
      <c r="BD881" t="inlineStr">
        <is>
          <t>893417689</t>
        </is>
      </c>
    </row>
    <row r="882">
      <c r="A882" t="inlineStr">
        <is>
          <t>No</t>
        </is>
      </c>
      <c r="B882" t="inlineStr">
        <is>
          <t>BV5080 .C3 1874</t>
        </is>
      </c>
      <c r="C882" t="inlineStr">
        <is>
          <t>0                      BV 5080000C  3           1874</t>
        </is>
      </c>
      <c r="D882" t="inlineStr">
        <is>
          <t>L'Abandon a la Providence Divine / ouvrage posthume du P. J.-P. de Caussade ; augmentée de lettres et autres écrits encore inédits du même auteur ; le tout revu, corrigé et mis en ordre par le P. H. Ramière.</t>
        </is>
      </c>
      <c r="E882" t="inlineStr">
        <is>
          <t>V.2</t>
        </is>
      </c>
      <c r="F882" t="inlineStr">
        <is>
          <t>Yes</t>
        </is>
      </c>
      <c r="G882" t="inlineStr">
        <is>
          <t>1</t>
        </is>
      </c>
      <c r="H882" t="inlineStr">
        <is>
          <t>No</t>
        </is>
      </c>
      <c r="I882" t="inlineStr">
        <is>
          <t>No</t>
        </is>
      </c>
      <c r="J882" t="inlineStr">
        <is>
          <t>0</t>
        </is>
      </c>
      <c r="K882" t="inlineStr">
        <is>
          <t>Caussade, Jean Pierre de, -1751.</t>
        </is>
      </c>
      <c r="L882" t="inlineStr">
        <is>
          <t>Paris : Librairie Catholique de Perisse Frères, 1874.</t>
        </is>
      </c>
      <c r="M882" t="inlineStr">
        <is>
          <t>1874</t>
        </is>
      </c>
      <c r="N882" t="inlineStr">
        <is>
          <t>7 éd.</t>
        </is>
      </c>
      <c r="O882" t="inlineStr">
        <is>
          <t>fre</t>
        </is>
      </c>
      <c r="P882" t="inlineStr">
        <is>
          <t xml:space="preserve">fr </t>
        </is>
      </c>
      <c r="R882" t="inlineStr">
        <is>
          <t xml:space="preserve">BV </t>
        </is>
      </c>
      <c r="S882" t="n">
        <v>0</v>
      </c>
      <c r="T882" t="n">
        <v>1</v>
      </c>
      <c r="U882" t="inlineStr">
        <is>
          <t>2003-12-17</t>
        </is>
      </c>
      <c r="V882" t="inlineStr">
        <is>
          <t>2003-12-17</t>
        </is>
      </c>
      <c r="W882" t="inlineStr">
        <is>
          <t>1992-03-18</t>
        </is>
      </c>
      <c r="X882" t="inlineStr">
        <is>
          <t>1992-03-18</t>
        </is>
      </c>
      <c r="Y882" t="n">
        <v>7</v>
      </c>
      <c r="Z882" t="n">
        <v>6</v>
      </c>
      <c r="AA882" t="n">
        <v>41</v>
      </c>
      <c r="AB882" t="n">
        <v>1</v>
      </c>
      <c r="AC882" t="n">
        <v>1</v>
      </c>
      <c r="AD882" t="n">
        <v>2</v>
      </c>
      <c r="AE882" t="n">
        <v>10</v>
      </c>
      <c r="AF882" t="n">
        <v>1</v>
      </c>
      <c r="AG882" t="n">
        <v>2</v>
      </c>
      <c r="AH882" t="n">
        <v>0</v>
      </c>
      <c r="AI882" t="n">
        <v>1</v>
      </c>
      <c r="AJ882" t="n">
        <v>2</v>
      </c>
      <c r="AK882" t="n">
        <v>10</v>
      </c>
      <c r="AL882" t="n">
        <v>0</v>
      </c>
      <c r="AM882" t="n">
        <v>0</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HYPERLINK("https://creighton-primo.hosted.exlibrisgroup.com/primo-explore/search?tab=default_tab&amp;search_scope=EVERYTHING&amp;vid=01CRU&amp;lang=en_US&amp;offset=0&amp;query=any,contains,991004494109702656","Catalog Record")</f>
        <v/>
      </c>
      <c r="AT882">
        <f>HYPERLINK("http://www.worldcat.org/oclc/3681902","WorldCat Record")</f>
        <v/>
      </c>
      <c r="AU882" t="inlineStr">
        <is>
          <t>403710:fre</t>
        </is>
      </c>
      <c r="AV882" t="inlineStr">
        <is>
          <t>3681902</t>
        </is>
      </c>
      <c r="AW882" t="inlineStr">
        <is>
          <t>991004494109702656</t>
        </is>
      </c>
      <c r="AX882" t="inlineStr">
        <is>
          <t>991004494109702656</t>
        </is>
      </c>
      <c r="AY882" t="inlineStr">
        <is>
          <t>2259993940002656</t>
        </is>
      </c>
      <c r="AZ882" t="inlineStr">
        <is>
          <t>BOOK</t>
        </is>
      </c>
      <c r="BC882" t="inlineStr">
        <is>
          <t>32285001015410</t>
        </is>
      </c>
      <c r="BD882" t="inlineStr">
        <is>
          <t>893430122</t>
        </is>
      </c>
    </row>
    <row r="883">
      <c r="A883" t="inlineStr">
        <is>
          <t>No</t>
        </is>
      </c>
      <c r="B883" t="inlineStr">
        <is>
          <t>BV5080 .D562 2000</t>
        </is>
      </c>
      <c r="C883" t="inlineStr">
        <is>
          <t>0                      BV 5080000D  562         2000</t>
        </is>
      </c>
      <c r="D883" t="inlineStr">
        <is>
          <t>Maria Maddalena De' Pazzi / translated and introduced by Armando Maggi ; preface by E. Ann Matter.</t>
        </is>
      </c>
      <c r="F883" t="inlineStr">
        <is>
          <t>No</t>
        </is>
      </c>
      <c r="G883" t="inlineStr">
        <is>
          <t>1</t>
        </is>
      </c>
      <c r="H883" t="inlineStr">
        <is>
          <t>No</t>
        </is>
      </c>
      <c r="I883" t="inlineStr">
        <is>
          <t>No</t>
        </is>
      </c>
      <c r="J883" t="inlineStr">
        <is>
          <t>0</t>
        </is>
      </c>
      <c r="K883" t="inlineStr">
        <is>
          <t>De' Pazzi, Maria Maddalena, Saint, 1566-1607.</t>
        </is>
      </c>
      <c r="L883" t="inlineStr">
        <is>
          <t>Mahwah, N.J. : Paulist Press, c2000.</t>
        </is>
      </c>
      <c r="M883" t="inlineStr">
        <is>
          <t>2000</t>
        </is>
      </c>
      <c r="O883" t="inlineStr">
        <is>
          <t>eng</t>
        </is>
      </c>
      <c r="P883" t="inlineStr">
        <is>
          <t>nju</t>
        </is>
      </c>
      <c r="Q883" t="inlineStr">
        <is>
          <t>The classics of Western spirituality ; #98</t>
        </is>
      </c>
      <c r="R883" t="inlineStr">
        <is>
          <t xml:space="preserve">BV </t>
        </is>
      </c>
      <c r="S883" t="n">
        <v>3</v>
      </c>
      <c r="T883" t="n">
        <v>3</v>
      </c>
      <c r="U883" t="inlineStr">
        <is>
          <t>2009-06-12</t>
        </is>
      </c>
      <c r="V883" t="inlineStr">
        <is>
          <t>2009-06-12</t>
        </is>
      </c>
      <c r="W883" t="inlineStr">
        <is>
          <t>2000-08-15</t>
        </is>
      </c>
      <c r="X883" t="inlineStr">
        <is>
          <t>2000-08-15</t>
        </is>
      </c>
      <c r="Y883" t="n">
        <v>475</v>
      </c>
      <c r="Z883" t="n">
        <v>416</v>
      </c>
      <c r="AA883" t="n">
        <v>418</v>
      </c>
      <c r="AB883" t="n">
        <v>7</v>
      </c>
      <c r="AC883" t="n">
        <v>7</v>
      </c>
      <c r="AD883" t="n">
        <v>40</v>
      </c>
      <c r="AE883" t="n">
        <v>40</v>
      </c>
      <c r="AF883" t="n">
        <v>16</v>
      </c>
      <c r="AG883" t="n">
        <v>16</v>
      </c>
      <c r="AH883" t="n">
        <v>9</v>
      </c>
      <c r="AI883" t="n">
        <v>9</v>
      </c>
      <c r="AJ883" t="n">
        <v>23</v>
      </c>
      <c r="AK883" t="n">
        <v>23</v>
      </c>
      <c r="AL883" t="n">
        <v>4</v>
      </c>
      <c r="AM883" t="n">
        <v>4</v>
      </c>
      <c r="AN883" t="n">
        <v>0</v>
      </c>
      <c r="AO883" t="n">
        <v>0</v>
      </c>
      <c r="AP883" t="inlineStr">
        <is>
          <t>No</t>
        </is>
      </c>
      <c r="AQ883" t="inlineStr">
        <is>
          <t>Yes</t>
        </is>
      </c>
      <c r="AR883">
        <f>HYPERLINK("http://catalog.hathitrust.org/Record/004111336","HathiTrust Record")</f>
        <v/>
      </c>
      <c r="AS883">
        <f>HYPERLINK("https://creighton-primo.hosted.exlibrisgroup.com/primo-explore/search?tab=default_tab&amp;search_scope=EVERYTHING&amp;vid=01CRU&amp;lang=en_US&amp;offset=0&amp;query=any,contains,991003265639702656","Catalog Record")</f>
        <v/>
      </c>
      <c r="AT883">
        <f>HYPERLINK("http://www.worldcat.org/oclc/43109932","WorldCat Record")</f>
        <v/>
      </c>
      <c r="AU883" t="inlineStr">
        <is>
          <t>34409398:eng</t>
        </is>
      </c>
      <c r="AV883" t="inlineStr">
        <is>
          <t>43109932</t>
        </is>
      </c>
      <c r="AW883" t="inlineStr">
        <is>
          <t>991003265639702656</t>
        </is>
      </c>
      <c r="AX883" t="inlineStr">
        <is>
          <t>991003265639702656</t>
        </is>
      </c>
      <c r="AY883" t="inlineStr">
        <is>
          <t>2268026590002656</t>
        </is>
      </c>
      <c r="AZ883" t="inlineStr">
        <is>
          <t>BOOK</t>
        </is>
      </c>
      <c r="BB883" t="inlineStr">
        <is>
          <t>9780809105090</t>
        </is>
      </c>
      <c r="BC883" t="inlineStr">
        <is>
          <t>32285003757712</t>
        </is>
      </c>
      <c r="BD883" t="inlineStr">
        <is>
          <t>893428617</t>
        </is>
      </c>
    </row>
    <row r="884">
      <c r="A884" t="inlineStr">
        <is>
          <t>No</t>
        </is>
      </c>
      <c r="B884" t="inlineStr">
        <is>
          <t>BV5080 .E3213 1980</t>
        </is>
      </c>
      <c r="C884" t="inlineStr">
        <is>
          <t>0                      BV 5080000E  3213        1980</t>
        </is>
      </c>
      <c r="D884" t="inlineStr">
        <is>
          <t>Breakthrough, Meister Eckhart's creation spirituality, in new translation / introd. and commentaries by Matthew Fox.</t>
        </is>
      </c>
      <c r="F884" t="inlineStr">
        <is>
          <t>No</t>
        </is>
      </c>
      <c r="G884" t="inlineStr">
        <is>
          <t>1</t>
        </is>
      </c>
      <c r="H884" t="inlineStr">
        <is>
          <t>No</t>
        </is>
      </c>
      <c r="I884" t="inlineStr">
        <is>
          <t>No</t>
        </is>
      </c>
      <c r="J884" t="inlineStr">
        <is>
          <t>0</t>
        </is>
      </c>
      <c r="K884" t="inlineStr">
        <is>
          <t>Eckhart, Meister, -1327.</t>
        </is>
      </c>
      <c r="L884" t="inlineStr">
        <is>
          <t>Garden City, N.Y. : Doubleday, 1980.</t>
        </is>
      </c>
      <c r="M884" t="inlineStr">
        <is>
          <t>1980</t>
        </is>
      </c>
      <c r="O884" t="inlineStr">
        <is>
          <t>eng</t>
        </is>
      </c>
      <c r="P884" t="inlineStr">
        <is>
          <t>nyu</t>
        </is>
      </c>
      <c r="R884" t="inlineStr">
        <is>
          <t xml:space="preserve">BV </t>
        </is>
      </c>
      <c r="S884" t="n">
        <v>6</v>
      </c>
      <c r="T884" t="n">
        <v>6</v>
      </c>
      <c r="U884" t="inlineStr">
        <is>
          <t>2010-09-20</t>
        </is>
      </c>
      <c r="V884" t="inlineStr">
        <is>
          <t>2010-09-20</t>
        </is>
      </c>
      <c r="W884" t="inlineStr">
        <is>
          <t>1992-03-18</t>
        </is>
      </c>
      <c r="X884" t="inlineStr">
        <is>
          <t>1992-03-18</t>
        </is>
      </c>
      <c r="Y884" t="n">
        <v>529</v>
      </c>
      <c r="Z884" t="n">
        <v>470</v>
      </c>
      <c r="AA884" t="n">
        <v>656</v>
      </c>
      <c r="AB884" t="n">
        <v>2</v>
      </c>
      <c r="AC884" t="n">
        <v>3</v>
      </c>
      <c r="AD884" t="n">
        <v>30</v>
      </c>
      <c r="AE884" t="n">
        <v>38</v>
      </c>
      <c r="AF884" t="n">
        <v>13</v>
      </c>
      <c r="AG884" t="n">
        <v>16</v>
      </c>
      <c r="AH884" t="n">
        <v>8</v>
      </c>
      <c r="AI884" t="n">
        <v>10</v>
      </c>
      <c r="AJ884" t="n">
        <v>18</v>
      </c>
      <c r="AK884" t="n">
        <v>22</v>
      </c>
      <c r="AL884" t="n">
        <v>1</v>
      </c>
      <c r="AM884" t="n">
        <v>1</v>
      </c>
      <c r="AN884" t="n">
        <v>0</v>
      </c>
      <c r="AO884" t="n">
        <v>0</v>
      </c>
      <c r="AP884" t="inlineStr">
        <is>
          <t>No</t>
        </is>
      </c>
      <c r="AQ884" t="inlineStr">
        <is>
          <t>Yes</t>
        </is>
      </c>
      <c r="AR884">
        <f>HYPERLINK("http://catalog.hathitrust.org/Record/000142941","HathiTrust Record")</f>
        <v/>
      </c>
      <c r="AS884">
        <f>HYPERLINK("https://creighton-primo.hosted.exlibrisgroup.com/primo-explore/search?tab=default_tab&amp;search_scope=EVERYTHING&amp;vid=01CRU&amp;lang=en_US&amp;offset=0&amp;query=any,contains,991005004129702656","Catalog Record")</f>
        <v/>
      </c>
      <c r="AT884">
        <f>HYPERLINK("http://www.worldcat.org/oclc/6555678","WorldCat Record")</f>
        <v/>
      </c>
      <c r="AU884" t="inlineStr">
        <is>
          <t>22539618:eng</t>
        </is>
      </c>
      <c r="AV884" t="inlineStr">
        <is>
          <t>6555678</t>
        </is>
      </c>
      <c r="AW884" t="inlineStr">
        <is>
          <t>991005004129702656</t>
        </is>
      </c>
      <c r="AX884" t="inlineStr">
        <is>
          <t>991005004129702656</t>
        </is>
      </c>
      <c r="AY884" t="inlineStr">
        <is>
          <t>2255036290002656</t>
        </is>
      </c>
      <c r="AZ884" t="inlineStr">
        <is>
          <t>BOOK</t>
        </is>
      </c>
      <c r="BB884" t="inlineStr">
        <is>
          <t>9780385170451</t>
        </is>
      </c>
      <c r="BC884" t="inlineStr">
        <is>
          <t>32285001015501</t>
        </is>
      </c>
      <c r="BD884" t="inlineStr">
        <is>
          <t>893719643</t>
        </is>
      </c>
    </row>
    <row r="885">
      <c r="A885" t="inlineStr">
        <is>
          <t>No</t>
        </is>
      </c>
      <c r="B885" t="inlineStr">
        <is>
          <t>BV5080 .E3213 1986</t>
        </is>
      </c>
      <c r="C885" t="inlineStr">
        <is>
          <t>0                      BV 5080000E  3213        1986</t>
        </is>
      </c>
      <c r="D885" t="inlineStr">
        <is>
          <t>Meister Eckhart, teacher and preacher / edited by Bernard McGinn with the collaboration of Frank Tobin and Elvira Borgstadt ; preface by Kenneth Northcott.</t>
        </is>
      </c>
      <c r="F885" t="inlineStr">
        <is>
          <t>No</t>
        </is>
      </c>
      <c r="G885" t="inlineStr">
        <is>
          <t>1</t>
        </is>
      </c>
      <c r="H885" t="inlineStr">
        <is>
          <t>No</t>
        </is>
      </c>
      <c r="I885" t="inlineStr">
        <is>
          <t>No</t>
        </is>
      </c>
      <c r="J885" t="inlineStr">
        <is>
          <t>0</t>
        </is>
      </c>
      <c r="K885" t="inlineStr">
        <is>
          <t>Eckhart, Meister, -1327.</t>
        </is>
      </c>
      <c r="L885" t="inlineStr">
        <is>
          <t>New York : Paulist Press, c1986.</t>
        </is>
      </c>
      <c r="M885" t="inlineStr">
        <is>
          <t>1986</t>
        </is>
      </c>
      <c r="O885" t="inlineStr">
        <is>
          <t>eng</t>
        </is>
      </c>
      <c r="P885" t="inlineStr">
        <is>
          <t>nyu</t>
        </is>
      </c>
      <c r="Q885" t="inlineStr">
        <is>
          <t>The Classics of Western spirituality</t>
        </is>
      </c>
      <c r="R885" t="inlineStr">
        <is>
          <t xml:space="preserve">BV </t>
        </is>
      </c>
      <c r="S885" t="n">
        <v>8</v>
      </c>
      <c r="T885" t="n">
        <v>8</v>
      </c>
      <c r="U885" t="inlineStr">
        <is>
          <t>2010-10-12</t>
        </is>
      </c>
      <c r="V885" t="inlineStr">
        <is>
          <t>2010-10-12</t>
        </is>
      </c>
      <c r="W885" t="inlineStr">
        <is>
          <t>1999-07-28</t>
        </is>
      </c>
      <c r="X885" t="inlineStr">
        <is>
          <t>1999-07-28</t>
        </is>
      </c>
      <c r="Y885" t="n">
        <v>921</v>
      </c>
      <c r="Z885" t="n">
        <v>794</v>
      </c>
      <c r="AA885" t="n">
        <v>799</v>
      </c>
      <c r="AB885" t="n">
        <v>9</v>
      </c>
      <c r="AC885" t="n">
        <v>9</v>
      </c>
      <c r="AD885" t="n">
        <v>50</v>
      </c>
      <c r="AE885" t="n">
        <v>50</v>
      </c>
      <c r="AF885" t="n">
        <v>20</v>
      </c>
      <c r="AG885" t="n">
        <v>20</v>
      </c>
      <c r="AH885" t="n">
        <v>9</v>
      </c>
      <c r="AI885" t="n">
        <v>9</v>
      </c>
      <c r="AJ885" t="n">
        <v>27</v>
      </c>
      <c r="AK885" t="n">
        <v>27</v>
      </c>
      <c r="AL885" t="n">
        <v>6</v>
      </c>
      <c r="AM885" t="n">
        <v>6</v>
      </c>
      <c r="AN885" t="n">
        <v>0</v>
      </c>
      <c r="AO885" t="n">
        <v>0</v>
      </c>
      <c r="AP885" t="inlineStr">
        <is>
          <t>No</t>
        </is>
      </c>
      <c r="AQ885" t="inlineStr">
        <is>
          <t>Yes</t>
        </is>
      </c>
      <c r="AR885">
        <f>HYPERLINK("http://catalog.hathitrust.org/Record/002817314","HathiTrust Record")</f>
        <v/>
      </c>
      <c r="AS885">
        <f>HYPERLINK("https://creighton-primo.hosted.exlibrisgroup.com/primo-explore/search?tab=default_tab&amp;search_scope=EVERYTHING&amp;vid=01CRU&amp;lang=en_US&amp;offset=0&amp;query=any,contains,991000913939702656","Catalog Record")</f>
        <v/>
      </c>
      <c r="AT885">
        <f>HYPERLINK("http://www.worldcat.org/oclc/14165521","WorldCat Record")</f>
        <v/>
      </c>
      <c r="AU885" t="inlineStr">
        <is>
          <t>198347600:eng</t>
        </is>
      </c>
      <c r="AV885" t="inlineStr">
        <is>
          <t>14165521</t>
        </is>
      </c>
      <c r="AW885" t="inlineStr">
        <is>
          <t>991000913939702656</t>
        </is>
      </c>
      <c r="AX885" t="inlineStr">
        <is>
          <t>991000913939702656</t>
        </is>
      </c>
      <c r="AY885" t="inlineStr">
        <is>
          <t>2270127410002656</t>
        </is>
      </c>
      <c r="AZ885" t="inlineStr">
        <is>
          <t>BOOK</t>
        </is>
      </c>
      <c r="BB885" t="inlineStr">
        <is>
          <t>9780809128273</t>
        </is>
      </c>
      <c r="BC885" t="inlineStr">
        <is>
          <t>32285003579629</t>
        </is>
      </c>
      <c r="BD885" t="inlineStr">
        <is>
          <t>893602167</t>
        </is>
      </c>
    </row>
    <row r="886">
      <c r="A886" t="inlineStr">
        <is>
          <t>No</t>
        </is>
      </c>
      <c r="B886" t="inlineStr">
        <is>
          <t>BV5080 .R5514 1997</t>
        </is>
      </c>
      <c r="C886" t="inlineStr">
        <is>
          <t>0                      BV 5080000R  5514        1997</t>
        </is>
      </c>
      <c r="D886" t="inlineStr">
        <is>
          <t>Les douze patriarches, ou, Beniamin minor / Richard de Saint-Victor ; texte critique et translation par Jean Châtillon et Monique Duchet-Suchaux ; introduction, notes, et index par Jean Longère.</t>
        </is>
      </c>
      <c r="F886" t="inlineStr">
        <is>
          <t>No</t>
        </is>
      </c>
      <c r="G886" t="inlineStr">
        <is>
          <t>1</t>
        </is>
      </c>
      <c r="H886" t="inlineStr">
        <is>
          <t>No</t>
        </is>
      </c>
      <c r="I886" t="inlineStr">
        <is>
          <t>No</t>
        </is>
      </c>
      <c r="J886" t="inlineStr">
        <is>
          <t>0</t>
        </is>
      </c>
      <c r="K886" t="inlineStr">
        <is>
          <t>Richard, of St. Victor, -1173.</t>
        </is>
      </c>
      <c r="L886" t="inlineStr">
        <is>
          <t>Paris : Editions du Cerf, 1997.</t>
        </is>
      </c>
      <c r="M886" t="inlineStr">
        <is>
          <t>1997</t>
        </is>
      </c>
      <c r="O886" t="inlineStr">
        <is>
          <t>fre</t>
        </is>
      </c>
      <c r="P886" t="inlineStr">
        <is>
          <t xml:space="preserve">fr </t>
        </is>
      </c>
      <c r="Q886" t="inlineStr">
        <is>
          <t>Sources chrétiennes, 0750-1978 ; no 419</t>
        </is>
      </c>
      <c r="R886" t="inlineStr">
        <is>
          <t xml:space="preserve">BV </t>
        </is>
      </c>
      <c r="S886" t="n">
        <v>1</v>
      </c>
      <c r="T886" t="n">
        <v>1</v>
      </c>
      <c r="U886" t="inlineStr">
        <is>
          <t>2010-10-04</t>
        </is>
      </c>
      <c r="V886" t="inlineStr">
        <is>
          <t>2010-10-04</t>
        </is>
      </c>
      <c r="W886" t="inlineStr">
        <is>
          <t>1999-01-11</t>
        </is>
      </c>
      <c r="X886" t="inlineStr">
        <is>
          <t>1999-01-11</t>
        </is>
      </c>
      <c r="Y886" t="n">
        <v>119</v>
      </c>
      <c r="Z886" t="n">
        <v>59</v>
      </c>
      <c r="AA886" t="n">
        <v>119</v>
      </c>
      <c r="AB886" t="n">
        <v>1</v>
      </c>
      <c r="AC886" t="n">
        <v>1</v>
      </c>
      <c r="AD886" t="n">
        <v>3</v>
      </c>
      <c r="AE886" t="n">
        <v>12</v>
      </c>
      <c r="AF886" t="n">
        <v>1</v>
      </c>
      <c r="AG886" t="n">
        <v>2</v>
      </c>
      <c r="AH886" t="n">
        <v>1</v>
      </c>
      <c r="AI886" t="n">
        <v>3</v>
      </c>
      <c r="AJ886" t="n">
        <v>2</v>
      </c>
      <c r="AK886" t="n">
        <v>10</v>
      </c>
      <c r="AL886" t="n">
        <v>0</v>
      </c>
      <c r="AM886" t="n">
        <v>0</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HYPERLINK("https://creighton-primo.hosted.exlibrisgroup.com/primo-explore/search?tab=default_tab&amp;search_scope=EVERYTHING&amp;vid=01CRU&amp;lang=en_US&amp;offset=0&amp;query=any,contains,991002841269702656","Catalog Record")</f>
        <v/>
      </c>
      <c r="AT886">
        <f>HYPERLINK("http://www.worldcat.org/oclc/37433037","WorldCat Record")</f>
        <v/>
      </c>
      <c r="AU886" t="inlineStr">
        <is>
          <t>1082308327:fre</t>
        </is>
      </c>
      <c r="AV886" t="inlineStr">
        <is>
          <t>37433037</t>
        </is>
      </c>
      <c r="AW886" t="inlineStr">
        <is>
          <t>991002841269702656</t>
        </is>
      </c>
      <c r="AX886" t="inlineStr">
        <is>
          <t>991002841269702656</t>
        </is>
      </c>
      <c r="AY886" t="inlineStr">
        <is>
          <t>2264966010002656</t>
        </is>
      </c>
      <c r="AZ886" t="inlineStr">
        <is>
          <t>BOOK</t>
        </is>
      </c>
      <c r="BB886" t="inlineStr">
        <is>
          <t>9782204056106</t>
        </is>
      </c>
      <c r="BC886" t="inlineStr">
        <is>
          <t>32285003511630</t>
        </is>
      </c>
      <c r="BD886" t="inlineStr">
        <is>
          <t>893517824</t>
        </is>
      </c>
    </row>
    <row r="887">
      <c r="A887" t="inlineStr">
        <is>
          <t>No</t>
        </is>
      </c>
      <c r="B887" t="inlineStr">
        <is>
          <t>BV5080 .S4813 1994</t>
        </is>
      </c>
      <c r="C887" t="inlineStr">
        <is>
          <t>0                      BV 5080000S  4813        1994</t>
        </is>
      </c>
      <c r="D887" t="inlineStr">
        <is>
          <t>Wisdom's watch upon the hours / Bl. Henry Suso ; translated by Edmund Colledge.</t>
        </is>
      </c>
      <c r="F887" t="inlineStr">
        <is>
          <t>No</t>
        </is>
      </c>
      <c r="G887" t="inlineStr">
        <is>
          <t>1</t>
        </is>
      </c>
      <c r="H887" t="inlineStr">
        <is>
          <t>No</t>
        </is>
      </c>
      <c r="I887" t="inlineStr">
        <is>
          <t>No</t>
        </is>
      </c>
      <c r="J887" t="inlineStr">
        <is>
          <t>0</t>
        </is>
      </c>
      <c r="K887" t="inlineStr">
        <is>
          <t>Seuse, Heinrich, 1295-1366.</t>
        </is>
      </c>
      <c r="L887" t="inlineStr">
        <is>
          <t>Washington, DC : Catholic University of America Press, c1994.</t>
        </is>
      </c>
      <c r="M887" t="inlineStr">
        <is>
          <t>1994</t>
        </is>
      </c>
      <c r="O887" t="inlineStr">
        <is>
          <t>eng</t>
        </is>
      </c>
      <c r="P887" t="inlineStr">
        <is>
          <t>dcu</t>
        </is>
      </c>
      <c r="Q887" t="inlineStr">
        <is>
          <t>The Fathers of the church. Mediaeval continuation ; v. 4</t>
        </is>
      </c>
      <c r="R887" t="inlineStr">
        <is>
          <t xml:space="preserve">BV </t>
        </is>
      </c>
      <c r="S887" t="n">
        <v>6</v>
      </c>
      <c r="T887" t="n">
        <v>6</v>
      </c>
      <c r="U887" t="inlineStr">
        <is>
          <t>2010-11-22</t>
        </is>
      </c>
      <c r="V887" t="inlineStr">
        <is>
          <t>2010-11-22</t>
        </is>
      </c>
      <c r="W887" t="inlineStr">
        <is>
          <t>2004-07-20</t>
        </is>
      </c>
      <c r="X887" t="inlineStr">
        <is>
          <t>2004-07-20</t>
        </is>
      </c>
      <c r="Y887" t="n">
        <v>326</v>
      </c>
      <c r="Z887" t="n">
        <v>268</v>
      </c>
      <c r="AA887" t="n">
        <v>487</v>
      </c>
      <c r="AB887" t="n">
        <v>3</v>
      </c>
      <c r="AC887" t="n">
        <v>4</v>
      </c>
      <c r="AD887" t="n">
        <v>23</v>
      </c>
      <c r="AE887" t="n">
        <v>32</v>
      </c>
      <c r="AF887" t="n">
        <v>9</v>
      </c>
      <c r="AG887" t="n">
        <v>13</v>
      </c>
      <c r="AH887" t="n">
        <v>4</v>
      </c>
      <c r="AI887" t="n">
        <v>7</v>
      </c>
      <c r="AJ887" t="n">
        <v>16</v>
      </c>
      <c r="AK887" t="n">
        <v>20</v>
      </c>
      <c r="AL887" t="n">
        <v>1</v>
      </c>
      <c r="AM887" t="n">
        <v>2</v>
      </c>
      <c r="AN887" t="n">
        <v>0</v>
      </c>
      <c r="AO887" t="n">
        <v>0</v>
      </c>
      <c r="AP887" t="inlineStr">
        <is>
          <t>No</t>
        </is>
      </c>
      <c r="AQ887" t="inlineStr">
        <is>
          <t>Yes</t>
        </is>
      </c>
      <c r="AR887">
        <f>HYPERLINK("http://catalog.hathitrust.org/Record/002906574","HathiTrust Record")</f>
        <v/>
      </c>
      <c r="AS887">
        <f>HYPERLINK("https://creighton-primo.hosted.exlibrisgroup.com/primo-explore/search?tab=default_tab&amp;search_scope=EVERYTHING&amp;vid=01CRU&amp;lang=en_US&amp;offset=0&amp;query=any,contains,991004327459702656","Catalog Record")</f>
        <v/>
      </c>
      <c r="AT887">
        <f>HYPERLINK("http://www.worldcat.org/oclc/28674259","WorldCat Record")</f>
        <v/>
      </c>
      <c r="AU887" t="inlineStr">
        <is>
          <t>4925896411:eng</t>
        </is>
      </c>
      <c r="AV887" t="inlineStr">
        <is>
          <t>28674259</t>
        </is>
      </c>
      <c r="AW887" t="inlineStr">
        <is>
          <t>991004327459702656</t>
        </is>
      </c>
      <c r="AX887" t="inlineStr">
        <is>
          <t>991004327459702656</t>
        </is>
      </c>
      <c r="AY887" t="inlineStr">
        <is>
          <t>2269830050002656</t>
        </is>
      </c>
      <c r="AZ887" t="inlineStr">
        <is>
          <t>BOOK</t>
        </is>
      </c>
      <c r="BB887" t="inlineStr">
        <is>
          <t>9780813207926</t>
        </is>
      </c>
      <c r="BC887" t="inlineStr">
        <is>
          <t>32285004985866</t>
        </is>
      </c>
      <c r="BD887" t="inlineStr">
        <is>
          <t>893800858</t>
        </is>
      </c>
    </row>
    <row r="888">
      <c r="A888" t="inlineStr">
        <is>
          <t>No</t>
        </is>
      </c>
      <c r="B888" t="inlineStr">
        <is>
          <t>BV5080 .S836213 1989</t>
        </is>
      </c>
      <c r="C888" t="inlineStr">
        <is>
          <t>0                      BV 5080000S  836213      1989</t>
        </is>
      </c>
      <c r="D888" t="inlineStr">
        <is>
          <t>Henry Suso : the Exemplar, with two German sermons / [edited and translated] by Frank Tobin.</t>
        </is>
      </c>
      <c r="F888" t="inlineStr">
        <is>
          <t>No</t>
        </is>
      </c>
      <c r="G888" t="inlineStr">
        <is>
          <t>1</t>
        </is>
      </c>
      <c r="H888" t="inlineStr">
        <is>
          <t>No</t>
        </is>
      </c>
      <c r="I888" t="inlineStr">
        <is>
          <t>No</t>
        </is>
      </c>
      <c r="J888" t="inlineStr">
        <is>
          <t>0</t>
        </is>
      </c>
      <c r="K888" t="inlineStr">
        <is>
          <t>Seuse, Heinrich, 1295-1366.</t>
        </is>
      </c>
      <c r="L888" t="inlineStr">
        <is>
          <t>New York : Paulist Press, c1989.</t>
        </is>
      </c>
      <c r="M888" t="inlineStr">
        <is>
          <t>1989</t>
        </is>
      </c>
      <c r="O888" t="inlineStr">
        <is>
          <t>eng</t>
        </is>
      </c>
      <c r="P888" t="inlineStr">
        <is>
          <t>nyu</t>
        </is>
      </c>
      <c r="Q888" t="inlineStr">
        <is>
          <t>The Classics of Western spirituality</t>
        </is>
      </c>
      <c r="R888" t="inlineStr">
        <is>
          <t xml:space="preserve">BV </t>
        </is>
      </c>
      <c r="S888" t="n">
        <v>7</v>
      </c>
      <c r="T888" t="n">
        <v>7</v>
      </c>
      <c r="U888" t="inlineStr">
        <is>
          <t>2010-11-22</t>
        </is>
      </c>
      <c r="V888" t="inlineStr">
        <is>
          <t>2010-11-22</t>
        </is>
      </c>
      <c r="W888" t="inlineStr">
        <is>
          <t>1992-03-18</t>
        </is>
      </c>
      <c r="X888" t="inlineStr">
        <is>
          <t>1992-03-18</t>
        </is>
      </c>
      <c r="Y888" t="n">
        <v>591</v>
      </c>
      <c r="Z888" t="n">
        <v>509</v>
      </c>
      <c r="AA888" t="n">
        <v>511</v>
      </c>
      <c r="AB888" t="n">
        <v>7</v>
      </c>
      <c r="AC888" t="n">
        <v>7</v>
      </c>
      <c r="AD888" t="n">
        <v>39</v>
      </c>
      <c r="AE888" t="n">
        <v>39</v>
      </c>
      <c r="AF888" t="n">
        <v>16</v>
      </c>
      <c r="AG888" t="n">
        <v>16</v>
      </c>
      <c r="AH888" t="n">
        <v>6</v>
      </c>
      <c r="AI888" t="n">
        <v>6</v>
      </c>
      <c r="AJ888" t="n">
        <v>23</v>
      </c>
      <c r="AK888" t="n">
        <v>23</v>
      </c>
      <c r="AL888" t="n">
        <v>4</v>
      </c>
      <c r="AM888" t="n">
        <v>4</v>
      </c>
      <c r="AN888" t="n">
        <v>0</v>
      </c>
      <c r="AO888" t="n">
        <v>0</v>
      </c>
      <c r="AP888" t="inlineStr">
        <is>
          <t>No</t>
        </is>
      </c>
      <c r="AQ888" t="inlineStr">
        <is>
          <t>Yes</t>
        </is>
      </c>
      <c r="AR888">
        <f>HYPERLINK("http://catalog.hathitrust.org/Record/002815902","HathiTrust Record")</f>
        <v/>
      </c>
      <c r="AS888">
        <f>HYPERLINK("https://creighton-primo.hosted.exlibrisgroup.com/primo-explore/search?tab=default_tab&amp;search_scope=EVERYTHING&amp;vid=01CRU&amp;lang=en_US&amp;offset=0&amp;query=any,contains,991001492739702656","Catalog Record")</f>
        <v/>
      </c>
      <c r="AT888">
        <f>HYPERLINK("http://www.worldcat.org/oclc/19739524","WorldCat Record")</f>
        <v/>
      </c>
      <c r="AU888" t="inlineStr">
        <is>
          <t>1059261478:eng</t>
        </is>
      </c>
      <c r="AV888" t="inlineStr">
        <is>
          <t>19739524</t>
        </is>
      </c>
      <c r="AW888" t="inlineStr">
        <is>
          <t>991001492739702656</t>
        </is>
      </c>
      <c r="AX888" t="inlineStr">
        <is>
          <t>991001492739702656</t>
        </is>
      </c>
      <c r="AY888" t="inlineStr">
        <is>
          <t>2259349780002656</t>
        </is>
      </c>
      <c r="AZ888" t="inlineStr">
        <is>
          <t>BOOK</t>
        </is>
      </c>
      <c r="BB888" t="inlineStr">
        <is>
          <t>9780809129867</t>
        </is>
      </c>
      <c r="BC888" t="inlineStr">
        <is>
          <t>32285001015675</t>
        </is>
      </c>
      <c r="BD888" t="inlineStr">
        <is>
          <t>893534568</t>
        </is>
      </c>
    </row>
    <row r="889">
      <c r="A889" t="inlineStr">
        <is>
          <t>No</t>
        </is>
      </c>
      <c r="B889" t="inlineStr">
        <is>
          <t>BV5080 .S913 1962</t>
        </is>
      </c>
      <c r="C889" t="inlineStr">
        <is>
          <t>0                      BV 5080000S  913         1962</t>
        </is>
      </c>
      <c r="D889" t="inlineStr">
        <is>
          <t>The exemplar : life and writings of Blessed Henry Suso, o. p. / Complete ed. based on mss., with a critical introd. and explanatory notes by Nicholas Heller. Tr. from the German by Ann Edward.</t>
        </is>
      </c>
      <c r="E889" t="inlineStr">
        <is>
          <t>V.1</t>
        </is>
      </c>
      <c r="F889" t="inlineStr">
        <is>
          <t>Yes</t>
        </is>
      </c>
      <c r="G889" t="inlineStr">
        <is>
          <t>1</t>
        </is>
      </c>
      <c r="H889" t="inlineStr">
        <is>
          <t>No</t>
        </is>
      </c>
      <c r="I889" t="inlineStr">
        <is>
          <t>No</t>
        </is>
      </c>
      <c r="J889" t="inlineStr">
        <is>
          <t>0</t>
        </is>
      </c>
      <c r="K889" t="inlineStr">
        <is>
          <t>Seuse, Heinrich, 1295-1366.</t>
        </is>
      </c>
      <c r="L889" t="inlineStr">
        <is>
          <t>Dubuque, Iowa : Priory Pr., 1962.</t>
        </is>
      </c>
      <c r="M889" t="inlineStr">
        <is>
          <t>1962</t>
        </is>
      </c>
      <c r="O889" t="inlineStr">
        <is>
          <t>eng</t>
        </is>
      </c>
      <c r="P889" t="inlineStr">
        <is>
          <t>iau</t>
        </is>
      </c>
      <c r="R889" t="inlineStr">
        <is>
          <t xml:space="preserve">BV </t>
        </is>
      </c>
      <c r="S889" t="n">
        <v>4</v>
      </c>
      <c r="T889" t="n">
        <v>8</v>
      </c>
      <c r="U889" t="inlineStr">
        <is>
          <t>2010-09-24</t>
        </is>
      </c>
      <c r="V889" t="inlineStr">
        <is>
          <t>2010-09-24</t>
        </is>
      </c>
      <c r="W889" t="inlineStr">
        <is>
          <t>1992-03-18</t>
        </is>
      </c>
      <c r="X889" t="inlineStr">
        <is>
          <t>1992-03-18</t>
        </is>
      </c>
      <c r="Y889" t="n">
        <v>205</v>
      </c>
      <c r="Z889" t="n">
        <v>194</v>
      </c>
      <c r="AA889" t="n">
        <v>194</v>
      </c>
      <c r="AB889" t="n">
        <v>2</v>
      </c>
      <c r="AC889" t="n">
        <v>2</v>
      </c>
      <c r="AD889" t="n">
        <v>25</v>
      </c>
      <c r="AE889" t="n">
        <v>25</v>
      </c>
      <c r="AF889" t="n">
        <v>6</v>
      </c>
      <c r="AG889" t="n">
        <v>6</v>
      </c>
      <c r="AH889" t="n">
        <v>6</v>
      </c>
      <c r="AI889" t="n">
        <v>6</v>
      </c>
      <c r="AJ889" t="n">
        <v>20</v>
      </c>
      <c r="AK889" t="n">
        <v>20</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HYPERLINK("https://creighton-primo.hosted.exlibrisgroup.com/primo-explore/search?tab=default_tab&amp;search_scope=EVERYTHING&amp;vid=01CRU&amp;lang=en_US&amp;offset=0&amp;query=any,contains,991004035859702656","Catalog Record")</f>
        <v/>
      </c>
      <c r="AT889">
        <f>HYPERLINK("http://www.worldcat.org/oclc/2169787","WorldCat Record")</f>
        <v/>
      </c>
      <c r="AU889" t="inlineStr">
        <is>
          <t>1781886267:eng</t>
        </is>
      </c>
      <c r="AV889" t="inlineStr">
        <is>
          <t>2169787</t>
        </is>
      </c>
      <c r="AW889" t="inlineStr">
        <is>
          <t>991004035859702656</t>
        </is>
      </c>
      <c r="AX889" t="inlineStr">
        <is>
          <t>991004035859702656</t>
        </is>
      </c>
      <c r="AY889" t="inlineStr">
        <is>
          <t>2267078690002656</t>
        </is>
      </c>
      <c r="AZ889" t="inlineStr">
        <is>
          <t>BOOK</t>
        </is>
      </c>
      <c r="BC889" t="inlineStr">
        <is>
          <t>32285001015683</t>
        </is>
      </c>
      <c r="BD889" t="inlineStr">
        <is>
          <t>893240935</t>
        </is>
      </c>
    </row>
    <row r="890">
      <c r="A890" t="inlineStr">
        <is>
          <t>No</t>
        </is>
      </c>
      <c r="B890" t="inlineStr">
        <is>
          <t>BV5080 .S913 1962</t>
        </is>
      </c>
      <c r="C890" t="inlineStr">
        <is>
          <t>0                      BV 5080000S  913         1962</t>
        </is>
      </c>
      <c r="D890" t="inlineStr">
        <is>
          <t>The exemplar : life and writings of Blessed Henry Suso, o. p. / Complete ed. based on mss., with a critical introd. and explanatory notes by Nicholas Heller. Tr. from the German by Ann Edward.</t>
        </is>
      </c>
      <c r="E890" t="inlineStr">
        <is>
          <t>V.2</t>
        </is>
      </c>
      <c r="F890" t="inlineStr">
        <is>
          <t>Yes</t>
        </is>
      </c>
      <c r="G890" t="inlineStr">
        <is>
          <t>1</t>
        </is>
      </c>
      <c r="H890" t="inlineStr">
        <is>
          <t>No</t>
        </is>
      </c>
      <c r="I890" t="inlineStr">
        <is>
          <t>No</t>
        </is>
      </c>
      <c r="J890" t="inlineStr">
        <is>
          <t>0</t>
        </is>
      </c>
      <c r="K890" t="inlineStr">
        <is>
          <t>Seuse, Heinrich, 1295-1366.</t>
        </is>
      </c>
      <c r="L890" t="inlineStr">
        <is>
          <t>Dubuque, Iowa : Priory Pr., 1962.</t>
        </is>
      </c>
      <c r="M890" t="inlineStr">
        <is>
          <t>1962</t>
        </is>
      </c>
      <c r="O890" t="inlineStr">
        <is>
          <t>eng</t>
        </is>
      </c>
      <c r="P890" t="inlineStr">
        <is>
          <t>iau</t>
        </is>
      </c>
      <c r="R890" t="inlineStr">
        <is>
          <t xml:space="preserve">BV </t>
        </is>
      </c>
      <c r="S890" t="n">
        <v>4</v>
      </c>
      <c r="T890" t="n">
        <v>8</v>
      </c>
      <c r="U890" t="inlineStr">
        <is>
          <t>2010-09-24</t>
        </is>
      </c>
      <c r="V890" t="inlineStr">
        <is>
          <t>2010-09-24</t>
        </is>
      </c>
      <c r="W890" t="inlineStr">
        <is>
          <t>1992-03-18</t>
        </is>
      </c>
      <c r="X890" t="inlineStr">
        <is>
          <t>1992-03-18</t>
        </is>
      </c>
      <c r="Y890" t="n">
        <v>205</v>
      </c>
      <c r="Z890" t="n">
        <v>194</v>
      </c>
      <c r="AA890" t="n">
        <v>194</v>
      </c>
      <c r="AB890" t="n">
        <v>2</v>
      </c>
      <c r="AC890" t="n">
        <v>2</v>
      </c>
      <c r="AD890" t="n">
        <v>25</v>
      </c>
      <c r="AE890" t="n">
        <v>25</v>
      </c>
      <c r="AF890" t="n">
        <v>6</v>
      </c>
      <c r="AG890" t="n">
        <v>6</v>
      </c>
      <c r="AH890" t="n">
        <v>6</v>
      </c>
      <c r="AI890" t="n">
        <v>6</v>
      </c>
      <c r="AJ890" t="n">
        <v>20</v>
      </c>
      <c r="AK890" t="n">
        <v>20</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HYPERLINK("https://creighton-primo.hosted.exlibrisgroup.com/primo-explore/search?tab=default_tab&amp;search_scope=EVERYTHING&amp;vid=01CRU&amp;lang=en_US&amp;offset=0&amp;query=any,contains,991004035859702656","Catalog Record")</f>
        <v/>
      </c>
      <c r="AT890">
        <f>HYPERLINK("http://www.worldcat.org/oclc/2169787","WorldCat Record")</f>
        <v/>
      </c>
      <c r="AU890" t="inlineStr">
        <is>
          <t>1781886267:eng</t>
        </is>
      </c>
      <c r="AV890" t="inlineStr">
        <is>
          <t>2169787</t>
        </is>
      </c>
      <c r="AW890" t="inlineStr">
        <is>
          <t>991004035859702656</t>
        </is>
      </c>
      <c r="AX890" t="inlineStr">
        <is>
          <t>991004035859702656</t>
        </is>
      </c>
      <c r="AY890" t="inlineStr">
        <is>
          <t>2267078690002656</t>
        </is>
      </c>
      <c r="AZ890" t="inlineStr">
        <is>
          <t>BOOK</t>
        </is>
      </c>
      <c r="BC890" t="inlineStr">
        <is>
          <t>32285001015691</t>
        </is>
      </c>
      <c r="BD890" t="inlineStr">
        <is>
          <t>893247076</t>
        </is>
      </c>
    </row>
    <row r="891">
      <c r="A891" t="inlineStr">
        <is>
          <t>No</t>
        </is>
      </c>
      <c r="B891" t="inlineStr">
        <is>
          <t>BV5080.E45 E4 1970</t>
        </is>
      </c>
      <c r="C891" t="inlineStr">
        <is>
          <t>0                      BV 5080000E  45                 E  4           1970</t>
        </is>
      </c>
      <c r="D891" t="inlineStr">
        <is>
          <t>Meister Eckhart : a modern translation / by Raymond Bernard Blakney.</t>
        </is>
      </c>
      <c r="F891" t="inlineStr">
        <is>
          <t>No</t>
        </is>
      </c>
      <c r="G891" t="inlineStr">
        <is>
          <t>1</t>
        </is>
      </c>
      <c r="H891" t="inlineStr">
        <is>
          <t>No</t>
        </is>
      </c>
      <c r="I891" t="inlineStr">
        <is>
          <t>No</t>
        </is>
      </c>
      <c r="J891" t="inlineStr">
        <is>
          <t>0</t>
        </is>
      </c>
      <c r="K891" t="inlineStr">
        <is>
          <t>Eckhart, Meister, -1327.</t>
        </is>
      </c>
      <c r="L891" t="inlineStr">
        <is>
          <t>New York : Harper &amp; Row, [1970], c1941.</t>
        </is>
      </c>
      <c r="M891" t="inlineStr">
        <is>
          <t>1970</t>
        </is>
      </c>
      <c r="O891" t="inlineStr">
        <is>
          <t>eng</t>
        </is>
      </c>
      <c r="P891" t="inlineStr">
        <is>
          <t>nyu</t>
        </is>
      </c>
      <c r="Q891" t="inlineStr">
        <is>
          <t>Harper torchbooks ; TB8</t>
        </is>
      </c>
      <c r="R891" t="inlineStr">
        <is>
          <t xml:space="preserve">BV </t>
        </is>
      </c>
      <c r="S891" t="n">
        <v>6</v>
      </c>
      <c r="T891" t="n">
        <v>6</v>
      </c>
      <c r="U891" t="inlineStr">
        <is>
          <t>2010-09-30</t>
        </is>
      </c>
      <c r="V891" t="inlineStr">
        <is>
          <t>2010-09-30</t>
        </is>
      </c>
      <c r="W891" t="inlineStr">
        <is>
          <t>2008-09-08</t>
        </is>
      </c>
      <c r="X891" t="inlineStr">
        <is>
          <t>2008-09-08</t>
        </is>
      </c>
      <c r="Y891" t="n">
        <v>16</v>
      </c>
      <c r="Z891" t="n">
        <v>10</v>
      </c>
      <c r="AA891" t="n">
        <v>955</v>
      </c>
      <c r="AB891" t="n">
        <v>1</v>
      </c>
      <c r="AC891" t="n">
        <v>7</v>
      </c>
      <c r="AD891" t="n">
        <v>1</v>
      </c>
      <c r="AE891" t="n">
        <v>44</v>
      </c>
      <c r="AF891" t="n">
        <v>0</v>
      </c>
      <c r="AG891" t="n">
        <v>20</v>
      </c>
      <c r="AH891" t="n">
        <v>1</v>
      </c>
      <c r="AI891" t="n">
        <v>9</v>
      </c>
      <c r="AJ891" t="n">
        <v>1</v>
      </c>
      <c r="AK891" t="n">
        <v>22</v>
      </c>
      <c r="AL891" t="n">
        <v>0</v>
      </c>
      <c r="AM891" t="n">
        <v>4</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HYPERLINK("https://creighton-primo.hosted.exlibrisgroup.com/primo-explore/search?tab=default_tab&amp;search_scope=EVERYTHING&amp;vid=01CRU&amp;lang=en_US&amp;offset=0&amp;query=any,contains,991005263019702656","Catalog Record")</f>
        <v/>
      </c>
      <c r="AT891">
        <f>HYPERLINK("http://www.worldcat.org/oclc/27210137","WorldCat Record")</f>
        <v/>
      </c>
      <c r="AU891" t="inlineStr">
        <is>
          <t>4095452845:eng</t>
        </is>
      </c>
      <c r="AV891" t="inlineStr">
        <is>
          <t>27210137</t>
        </is>
      </c>
      <c r="AW891" t="inlineStr">
        <is>
          <t>991005263019702656</t>
        </is>
      </c>
      <c r="AX891" t="inlineStr">
        <is>
          <t>991005263019702656</t>
        </is>
      </c>
      <c r="AY891" t="inlineStr">
        <is>
          <t>2269487930002656</t>
        </is>
      </c>
      <c r="AZ891" t="inlineStr">
        <is>
          <t>BOOK</t>
        </is>
      </c>
      <c r="BC891" t="inlineStr">
        <is>
          <t>32285005456867</t>
        </is>
      </c>
      <c r="BD891" t="inlineStr">
        <is>
          <t>893520736</t>
        </is>
      </c>
    </row>
    <row r="892">
      <c r="A892" t="inlineStr">
        <is>
          <t>No</t>
        </is>
      </c>
      <c r="B892" t="inlineStr">
        <is>
          <t>BV5080.J75 S62 1990</t>
        </is>
      </c>
      <c r="C892" t="inlineStr">
        <is>
          <t>0                      BV 5080000J  75                 S  62          1990</t>
        </is>
      </c>
      <c r="D892" t="inlineStr">
        <is>
          <t>The Spiritual canticle / Saint John of the Cross ; modern English version with notes [by] John Venard.</t>
        </is>
      </c>
      <c r="F892" t="inlineStr">
        <is>
          <t>No</t>
        </is>
      </c>
      <c r="G892" t="inlineStr">
        <is>
          <t>1</t>
        </is>
      </c>
      <c r="H892" t="inlineStr">
        <is>
          <t>No</t>
        </is>
      </c>
      <c r="I892" t="inlineStr">
        <is>
          <t>No</t>
        </is>
      </c>
      <c r="J892" t="inlineStr">
        <is>
          <t>0</t>
        </is>
      </c>
      <c r="K892" t="inlineStr">
        <is>
          <t>John of the Cross, Saint, 1542-1591.</t>
        </is>
      </c>
      <c r="L892" t="inlineStr">
        <is>
          <t>Newtown, N.S.W. : E. J. Dwyer, 1990.</t>
        </is>
      </c>
      <c r="M892" t="inlineStr">
        <is>
          <t>1990</t>
        </is>
      </c>
      <c r="N892" t="inlineStr">
        <is>
          <t>Rev. ed.</t>
        </is>
      </c>
      <c r="O892" t="inlineStr">
        <is>
          <t>eng</t>
        </is>
      </c>
      <c r="P892" t="inlineStr">
        <is>
          <t xml:space="preserve">at </t>
        </is>
      </c>
      <c r="R892" t="inlineStr">
        <is>
          <t xml:space="preserve">BV </t>
        </is>
      </c>
      <c r="S892" t="n">
        <v>7</v>
      </c>
      <c r="T892" t="n">
        <v>7</v>
      </c>
      <c r="U892" t="inlineStr">
        <is>
          <t>2009-01-15</t>
        </is>
      </c>
      <c r="V892" t="inlineStr">
        <is>
          <t>2009-01-15</t>
        </is>
      </c>
      <c r="W892" t="inlineStr">
        <is>
          <t>1991-12-19</t>
        </is>
      </c>
      <c r="X892" t="inlineStr">
        <is>
          <t>1991-12-19</t>
        </is>
      </c>
      <c r="Y892" t="n">
        <v>44</v>
      </c>
      <c r="Z892" t="n">
        <v>34</v>
      </c>
      <c r="AA892" t="n">
        <v>1826</v>
      </c>
      <c r="AB892" t="n">
        <v>1</v>
      </c>
      <c r="AC892" t="n">
        <v>20</v>
      </c>
      <c r="AD892" t="n">
        <v>1</v>
      </c>
      <c r="AE892" t="n">
        <v>53</v>
      </c>
      <c r="AF892" t="n">
        <v>1</v>
      </c>
      <c r="AG892" t="n">
        <v>20</v>
      </c>
      <c r="AH892" t="n">
        <v>0</v>
      </c>
      <c r="AI892" t="n">
        <v>9</v>
      </c>
      <c r="AJ892" t="n">
        <v>0</v>
      </c>
      <c r="AK892" t="n">
        <v>23</v>
      </c>
      <c r="AL892" t="n">
        <v>0</v>
      </c>
      <c r="AM892" t="n">
        <v>13</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HYPERLINK("https://creighton-primo.hosted.exlibrisgroup.com/primo-explore/search?tab=default_tab&amp;search_scope=EVERYTHING&amp;vid=01CRU&amp;lang=en_US&amp;offset=0&amp;query=any,contains,991001889429702656","Catalog Record")</f>
        <v/>
      </c>
      <c r="AT892">
        <f>HYPERLINK("http://www.worldcat.org/oclc/23828622","WorldCat Record")</f>
        <v/>
      </c>
      <c r="AU892" t="inlineStr">
        <is>
          <t>2022089:eng</t>
        </is>
      </c>
      <c r="AV892" t="inlineStr">
        <is>
          <t>23828622</t>
        </is>
      </c>
      <c r="AW892" t="inlineStr">
        <is>
          <t>991001889429702656</t>
        </is>
      </c>
      <c r="AX892" t="inlineStr">
        <is>
          <t>991001889429702656</t>
        </is>
      </c>
      <c r="AY892" t="inlineStr">
        <is>
          <t>2262906330002656</t>
        </is>
      </c>
      <c r="AZ892" t="inlineStr">
        <is>
          <t>BOOK</t>
        </is>
      </c>
      <c r="BB892" t="inlineStr">
        <is>
          <t>9780855741242</t>
        </is>
      </c>
      <c r="BC892" t="inlineStr">
        <is>
          <t>32285000861293</t>
        </is>
      </c>
      <c r="BD892" t="inlineStr">
        <is>
          <t>893703412</t>
        </is>
      </c>
    </row>
    <row r="893">
      <c r="A893" t="inlineStr">
        <is>
          <t>No</t>
        </is>
      </c>
      <c r="B893" t="inlineStr">
        <is>
          <t>BV5080.J7755 T48</t>
        </is>
      </c>
      <c r="C893" t="inlineStr">
        <is>
          <t>0                      BV 5080000J  7755               T  48</t>
        </is>
      </c>
      <c r="D893" t="inlineStr">
        <is>
          <t>The poet and the mystic : a study of the Cántico espiritual of San Juan de la Cruz / by Colin P. Thompson. --</t>
        </is>
      </c>
      <c r="F893" t="inlineStr">
        <is>
          <t>No</t>
        </is>
      </c>
      <c r="G893" t="inlineStr">
        <is>
          <t>1</t>
        </is>
      </c>
      <c r="H893" t="inlineStr">
        <is>
          <t>No</t>
        </is>
      </c>
      <c r="I893" t="inlineStr">
        <is>
          <t>No</t>
        </is>
      </c>
      <c r="J893" t="inlineStr">
        <is>
          <t>0</t>
        </is>
      </c>
      <c r="K893" t="inlineStr">
        <is>
          <t>Thompson, Colin P.</t>
        </is>
      </c>
      <c r="L893" t="inlineStr">
        <is>
          <t>Oxford [Eng.] ; New York : Oxford University Press, 1977.</t>
        </is>
      </c>
      <c r="M893" t="inlineStr">
        <is>
          <t>1977</t>
        </is>
      </c>
      <c r="O893" t="inlineStr">
        <is>
          <t>eng</t>
        </is>
      </c>
      <c r="P893" t="inlineStr">
        <is>
          <t>enk</t>
        </is>
      </c>
      <c r="Q893" t="inlineStr">
        <is>
          <t>Oxford modern languages and literature monographs</t>
        </is>
      </c>
      <c r="R893" t="inlineStr">
        <is>
          <t xml:space="preserve">BV </t>
        </is>
      </c>
      <c r="S893" t="n">
        <v>5</v>
      </c>
      <c r="T893" t="n">
        <v>5</v>
      </c>
      <c r="U893" t="inlineStr">
        <is>
          <t>2010-10-15</t>
        </is>
      </c>
      <c r="V893" t="inlineStr">
        <is>
          <t>2010-10-15</t>
        </is>
      </c>
      <c r="W893" t="inlineStr">
        <is>
          <t>1992-03-18</t>
        </is>
      </c>
      <c r="X893" t="inlineStr">
        <is>
          <t>1992-03-18</t>
        </is>
      </c>
      <c r="Y893" t="n">
        <v>384</v>
      </c>
      <c r="Z893" t="n">
        <v>300</v>
      </c>
      <c r="AA893" t="n">
        <v>307</v>
      </c>
      <c r="AB893" t="n">
        <v>3</v>
      </c>
      <c r="AC893" t="n">
        <v>3</v>
      </c>
      <c r="AD893" t="n">
        <v>21</v>
      </c>
      <c r="AE893" t="n">
        <v>21</v>
      </c>
      <c r="AF893" t="n">
        <v>5</v>
      </c>
      <c r="AG893" t="n">
        <v>5</v>
      </c>
      <c r="AH893" t="n">
        <v>6</v>
      </c>
      <c r="AI893" t="n">
        <v>6</v>
      </c>
      <c r="AJ893" t="n">
        <v>13</v>
      </c>
      <c r="AK893" t="n">
        <v>13</v>
      </c>
      <c r="AL893" t="n">
        <v>2</v>
      </c>
      <c r="AM893" t="n">
        <v>2</v>
      </c>
      <c r="AN893" t="n">
        <v>0</v>
      </c>
      <c r="AO893" t="n">
        <v>0</v>
      </c>
      <c r="AP893" t="inlineStr">
        <is>
          <t>No</t>
        </is>
      </c>
      <c r="AQ893" t="inlineStr">
        <is>
          <t>Yes</t>
        </is>
      </c>
      <c r="AR893">
        <f>HYPERLINK("http://catalog.hathitrust.org/Record/000252474","HathiTrust Record")</f>
        <v/>
      </c>
      <c r="AS893">
        <f>HYPERLINK("https://creighton-primo.hosted.exlibrisgroup.com/primo-explore/search?tab=default_tab&amp;search_scope=EVERYTHING&amp;vid=01CRU&amp;lang=en_US&amp;offset=0&amp;query=any,contains,991004325549702656","Catalog Record")</f>
        <v/>
      </c>
      <c r="AT893">
        <f>HYPERLINK("http://www.worldcat.org/oclc/3034614","WorldCat Record")</f>
        <v/>
      </c>
      <c r="AU893" t="inlineStr">
        <is>
          <t>840140804:eng</t>
        </is>
      </c>
      <c r="AV893" t="inlineStr">
        <is>
          <t>3034614</t>
        </is>
      </c>
      <c r="AW893" t="inlineStr">
        <is>
          <t>991004325549702656</t>
        </is>
      </c>
      <c r="AX893" t="inlineStr">
        <is>
          <t>991004325549702656</t>
        </is>
      </c>
      <c r="AY893" t="inlineStr">
        <is>
          <t>2261344930002656</t>
        </is>
      </c>
      <c r="AZ893" t="inlineStr">
        <is>
          <t>BOOK</t>
        </is>
      </c>
      <c r="BB893" t="inlineStr">
        <is>
          <t>9780198155317</t>
        </is>
      </c>
      <c r="BC893" t="inlineStr">
        <is>
          <t>32285001015576</t>
        </is>
      </c>
      <c r="BD893" t="inlineStr">
        <is>
          <t>893319072</t>
        </is>
      </c>
    </row>
    <row r="894">
      <c r="A894" t="inlineStr">
        <is>
          <t>No</t>
        </is>
      </c>
      <c r="B894" t="inlineStr">
        <is>
          <t>BV5080.J776 B7 1945</t>
        </is>
      </c>
      <c r="C894" t="inlineStr">
        <is>
          <t>0                      BV 5080000J  776                B  7           1945</t>
        </is>
      </c>
      <c r="D894" t="inlineStr">
        <is>
          <t>Journey in the night : a practical introduction to St. John of the Cross, and, in particular, a companion to the first book of the "Ascent of mt. Carmel" / by the Rev. Father Brice.</t>
        </is>
      </c>
      <c r="F894" t="inlineStr">
        <is>
          <t>No</t>
        </is>
      </c>
      <c r="G894" t="inlineStr">
        <is>
          <t>1</t>
        </is>
      </c>
      <c r="H894" t="inlineStr">
        <is>
          <t>No</t>
        </is>
      </c>
      <c r="I894" t="inlineStr">
        <is>
          <t>No</t>
        </is>
      </c>
      <c r="J894" t="inlineStr">
        <is>
          <t>0</t>
        </is>
      </c>
      <c r="K894" t="inlineStr">
        <is>
          <t>Brice, Father, 1905-</t>
        </is>
      </c>
      <c r="L894" t="inlineStr">
        <is>
          <t>New York ; Cincinnati : Frederick Pustet co., inc., 1945.</t>
        </is>
      </c>
      <c r="M894" t="inlineStr">
        <is>
          <t>1945</t>
        </is>
      </c>
      <c r="O894" t="inlineStr">
        <is>
          <t>eng</t>
        </is>
      </c>
      <c r="P894" t="inlineStr">
        <is>
          <t>nyu</t>
        </is>
      </c>
      <c r="R894" t="inlineStr">
        <is>
          <t xml:space="preserve">BV </t>
        </is>
      </c>
      <c r="S894" t="n">
        <v>7</v>
      </c>
      <c r="T894" t="n">
        <v>7</v>
      </c>
      <c r="U894" t="inlineStr">
        <is>
          <t>2003-06-13</t>
        </is>
      </c>
      <c r="V894" t="inlineStr">
        <is>
          <t>2003-06-13</t>
        </is>
      </c>
      <c r="W894" t="inlineStr">
        <is>
          <t>1992-03-18</t>
        </is>
      </c>
      <c r="X894" t="inlineStr">
        <is>
          <t>1992-03-18</t>
        </is>
      </c>
      <c r="Y894" t="n">
        <v>106</v>
      </c>
      <c r="Z894" t="n">
        <v>94</v>
      </c>
      <c r="AA894" t="n">
        <v>94</v>
      </c>
      <c r="AB894" t="n">
        <v>1</v>
      </c>
      <c r="AC894" t="n">
        <v>1</v>
      </c>
      <c r="AD894" t="n">
        <v>19</v>
      </c>
      <c r="AE894" t="n">
        <v>19</v>
      </c>
      <c r="AF894" t="n">
        <v>4</v>
      </c>
      <c r="AG894" t="n">
        <v>4</v>
      </c>
      <c r="AH894" t="n">
        <v>4</v>
      </c>
      <c r="AI894" t="n">
        <v>4</v>
      </c>
      <c r="AJ894" t="n">
        <v>16</v>
      </c>
      <c r="AK894" t="n">
        <v>16</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HYPERLINK("https://creighton-primo.hosted.exlibrisgroup.com/primo-explore/search?tab=default_tab&amp;search_scope=EVERYTHING&amp;vid=01CRU&amp;lang=en_US&amp;offset=0&amp;query=any,contains,991004160769702656","Catalog Record")</f>
        <v/>
      </c>
      <c r="AT894">
        <f>HYPERLINK("http://www.worldcat.org/oclc/2551042","WorldCat Record")</f>
        <v/>
      </c>
      <c r="AU894" t="inlineStr">
        <is>
          <t>204033482:eng</t>
        </is>
      </c>
      <c r="AV894" t="inlineStr">
        <is>
          <t>2551042</t>
        </is>
      </c>
      <c r="AW894" t="inlineStr">
        <is>
          <t>991004160769702656</t>
        </is>
      </c>
      <c r="AX894" t="inlineStr">
        <is>
          <t>991004160769702656</t>
        </is>
      </c>
      <c r="AY894" t="inlineStr">
        <is>
          <t>2255919720002656</t>
        </is>
      </c>
      <c r="AZ894" t="inlineStr">
        <is>
          <t>BOOK</t>
        </is>
      </c>
      <c r="BC894" t="inlineStr">
        <is>
          <t>32285001015584</t>
        </is>
      </c>
      <c r="BD894" t="inlineStr">
        <is>
          <t>893241089</t>
        </is>
      </c>
    </row>
    <row r="895">
      <c r="A895" t="inlineStr">
        <is>
          <t>No</t>
        </is>
      </c>
      <c r="B895" t="inlineStr">
        <is>
          <t>BV5080.J776 B72 1946</t>
        </is>
      </c>
      <c r="C895" t="inlineStr">
        <is>
          <t>0                      BV 5080000J  776                B  72          1946</t>
        </is>
      </c>
      <c r="D895" t="inlineStr">
        <is>
          <t>Spirit in darkness : a companion to book two of the "Ascent of mt. Carmel" / by the Rev. Fr. Brice.</t>
        </is>
      </c>
      <c r="F895" t="inlineStr">
        <is>
          <t>No</t>
        </is>
      </c>
      <c r="G895" t="inlineStr">
        <is>
          <t>1</t>
        </is>
      </c>
      <c r="H895" t="inlineStr">
        <is>
          <t>No</t>
        </is>
      </c>
      <c r="I895" t="inlineStr">
        <is>
          <t>No</t>
        </is>
      </c>
      <c r="J895" t="inlineStr">
        <is>
          <t>0</t>
        </is>
      </c>
      <c r="K895" t="inlineStr">
        <is>
          <t>Brice, Father, 1905-</t>
        </is>
      </c>
      <c r="L895" t="inlineStr">
        <is>
          <t>New York ; Cincinnati : Frederick Pustet co., inc., 1946.</t>
        </is>
      </c>
      <c r="M895" t="inlineStr">
        <is>
          <t>1946</t>
        </is>
      </c>
      <c r="O895" t="inlineStr">
        <is>
          <t>eng</t>
        </is>
      </c>
      <c r="P895" t="inlineStr">
        <is>
          <t>nyu</t>
        </is>
      </c>
      <c r="R895" t="inlineStr">
        <is>
          <t xml:space="preserve">BV </t>
        </is>
      </c>
      <c r="S895" t="n">
        <v>5</v>
      </c>
      <c r="T895" t="n">
        <v>5</v>
      </c>
      <c r="U895" t="inlineStr">
        <is>
          <t>2003-06-13</t>
        </is>
      </c>
      <c r="V895" t="inlineStr">
        <is>
          <t>2003-06-13</t>
        </is>
      </c>
      <c r="W895" t="inlineStr">
        <is>
          <t>1992-03-18</t>
        </is>
      </c>
      <c r="X895" t="inlineStr">
        <is>
          <t>1992-03-18</t>
        </is>
      </c>
      <c r="Y895" t="n">
        <v>117</v>
      </c>
      <c r="Z895" t="n">
        <v>107</v>
      </c>
      <c r="AA895" t="n">
        <v>109</v>
      </c>
      <c r="AB895" t="n">
        <v>3</v>
      </c>
      <c r="AC895" t="n">
        <v>3</v>
      </c>
      <c r="AD895" t="n">
        <v>24</v>
      </c>
      <c r="AE895" t="n">
        <v>24</v>
      </c>
      <c r="AF895" t="n">
        <v>9</v>
      </c>
      <c r="AG895" t="n">
        <v>9</v>
      </c>
      <c r="AH895" t="n">
        <v>4</v>
      </c>
      <c r="AI895" t="n">
        <v>4</v>
      </c>
      <c r="AJ895" t="n">
        <v>19</v>
      </c>
      <c r="AK895" t="n">
        <v>19</v>
      </c>
      <c r="AL895" t="n">
        <v>0</v>
      </c>
      <c r="AM895" t="n">
        <v>0</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HYPERLINK("https://creighton-primo.hosted.exlibrisgroup.com/primo-explore/search?tab=default_tab&amp;search_scope=EVERYTHING&amp;vid=01CRU&amp;lang=en_US&amp;offset=0&amp;query=any,contains,991004160739702656","Catalog Record")</f>
        <v/>
      </c>
      <c r="AT895">
        <f>HYPERLINK("http://www.worldcat.org/oclc/2551007","WorldCat Record")</f>
        <v/>
      </c>
      <c r="AU895" t="inlineStr">
        <is>
          <t>1376367842:eng</t>
        </is>
      </c>
      <c r="AV895" t="inlineStr">
        <is>
          <t>2551007</t>
        </is>
      </c>
      <c r="AW895" t="inlineStr">
        <is>
          <t>991004160739702656</t>
        </is>
      </c>
      <c r="AX895" t="inlineStr">
        <is>
          <t>991004160739702656</t>
        </is>
      </c>
      <c r="AY895" t="inlineStr">
        <is>
          <t>2255915260002656</t>
        </is>
      </c>
      <c r="AZ895" t="inlineStr">
        <is>
          <t>BOOK</t>
        </is>
      </c>
      <c r="BC895" t="inlineStr">
        <is>
          <t>32285001015592</t>
        </is>
      </c>
      <c r="BD895" t="inlineStr">
        <is>
          <t>893882127</t>
        </is>
      </c>
    </row>
    <row r="896">
      <c r="A896" t="inlineStr">
        <is>
          <t>No</t>
        </is>
      </c>
      <c r="B896" t="inlineStr">
        <is>
          <t>BV5080.J776 P4 1962</t>
        </is>
      </c>
      <c r="C896" t="inlineStr">
        <is>
          <t>0                      BV 5080000J  776                P  4           1962</t>
        </is>
      </c>
      <c r="D896" t="inlineStr">
        <is>
          <t>Living flame of love / by Saint John of the Cross. Translated, edited, and with an introd. by E. Allison Peers, from the critical edition of P. Silverio de Santa Teresa.</t>
        </is>
      </c>
      <c r="F896" t="inlineStr">
        <is>
          <t>No</t>
        </is>
      </c>
      <c r="G896" t="inlineStr">
        <is>
          <t>1</t>
        </is>
      </c>
      <c r="H896" t="inlineStr">
        <is>
          <t>No</t>
        </is>
      </c>
      <c r="I896" t="inlineStr">
        <is>
          <t>Yes</t>
        </is>
      </c>
      <c r="J896" t="inlineStr">
        <is>
          <t>0</t>
        </is>
      </c>
      <c r="K896" t="inlineStr">
        <is>
          <t>John of the Cross, Saint, 1542-1591.</t>
        </is>
      </c>
      <c r="L896" t="inlineStr">
        <is>
          <t>Garden City, N.Y. : Image Books, [1962]</t>
        </is>
      </c>
      <c r="M896" t="inlineStr">
        <is>
          <t>1962</t>
        </is>
      </c>
      <c r="O896" t="inlineStr">
        <is>
          <t>eng</t>
        </is>
      </c>
      <c r="P896" t="inlineStr">
        <is>
          <t>nyu</t>
        </is>
      </c>
      <c r="Q896" t="inlineStr">
        <is>
          <t>A Doubleday image book, D129</t>
        </is>
      </c>
      <c r="R896" t="inlineStr">
        <is>
          <t xml:space="preserve">BV </t>
        </is>
      </c>
      <c r="S896" t="n">
        <v>5</v>
      </c>
      <c r="T896" t="n">
        <v>5</v>
      </c>
      <c r="U896" t="inlineStr">
        <is>
          <t>2005-12-15</t>
        </is>
      </c>
      <c r="V896" t="inlineStr">
        <is>
          <t>2005-12-15</t>
        </is>
      </c>
      <c r="W896" t="inlineStr">
        <is>
          <t>1992-03-18</t>
        </is>
      </c>
      <c r="X896" t="inlineStr">
        <is>
          <t>1992-03-18</t>
        </is>
      </c>
      <c r="Y896" t="n">
        <v>270</v>
      </c>
      <c r="Z896" t="n">
        <v>248</v>
      </c>
      <c r="AA896" t="n">
        <v>549</v>
      </c>
      <c r="AB896" t="n">
        <v>2</v>
      </c>
      <c r="AC896" t="n">
        <v>5</v>
      </c>
      <c r="AD896" t="n">
        <v>21</v>
      </c>
      <c r="AE896" t="n">
        <v>35</v>
      </c>
      <c r="AF896" t="n">
        <v>7</v>
      </c>
      <c r="AG896" t="n">
        <v>13</v>
      </c>
      <c r="AH896" t="n">
        <v>6</v>
      </c>
      <c r="AI896" t="n">
        <v>11</v>
      </c>
      <c r="AJ896" t="n">
        <v>16</v>
      </c>
      <c r="AK896" t="n">
        <v>23</v>
      </c>
      <c r="AL896" t="n">
        <v>0</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HYPERLINK("https://creighton-primo.hosted.exlibrisgroup.com/primo-explore/search?tab=default_tab&amp;search_scope=EVERYTHING&amp;vid=01CRU&amp;lang=en_US&amp;offset=0&amp;query=any,contains,991003358549702656","Catalog Record")</f>
        <v/>
      </c>
      <c r="AT896">
        <f>HYPERLINK("http://www.worldcat.org/oclc/893698","WorldCat Record")</f>
        <v/>
      </c>
      <c r="AU896" t="inlineStr">
        <is>
          <t>8913898241:eng</t>
        </is>
      </c>
      <c r="AV896" t="inlineStr">
        <is>
          <t>893698</t>
        </is>
      </c>
      <c r="AW896" t="inlineStr">
        <is>
          <t>991003358549702656</t>
        </is>
      </c>
      <c r="AX896" t="inlineStr">
        <is>
          <t>991003358549702656</t>
        </is>
      </c>
      <c r="AY896" t="inlineStr">
        <is>
          <t>2259979010002656</t>
        </is>
      </c>
      <c r="AZ896" t="inlineStr">
        <is>
          <t>BOOK</t>
        </is>
      </c>
      <c r="BC896" t="inlineStr">
        <is>
          <t>32285001015600</t>
        </is>
      </c>
      <c r="BD896" t="inlineStr">
        <is>
          <t>893721920</t>
        </is>
      </c>
    </row>
    <row r="897">
      <c r="A897" t="inlineStr">
        <is>
          <t>No</t>
        </is>
      </c>
      <c r="B897" t="inlineStr">
        <is>
          <t>BV5081 .G6 1854</t>
        </is>
      </c>
      <c r="C897" t="inlineStr">
        <is>
          <t>0                      BV 5081000G  6           1854</t>
        </is>
      </c>
      <c r="D897" t="inlineStr">
        <is>
          <t>La mystique divine, naturelle, et diabolique / par Görres, ouvrage traduit de l'allemand par M. Charles Sainte-Foi.</t>
        </is>
      </c>
      <c r="E897" t="inlineStr">
        <is>
          <t>V.5</t>
        </is>
      </c>
      <c r="F897" t="inlineStr">
        <is>
          <t>Yes</t>
        </is>
      </c>
      <c r="G897" t="inlineStr">
        <is>
          <t>1</t>
        </is>
      </c>
      <c r="H897" t="inlineStr">
        <is>
          <t>No</t>
        </is>
      </c>
      <c r="I897" t="inlineStr">
        <is>
          <t>No</t>
        </is>
      </c>
      <c r="J897" t="inlineStr">
        <is>
          <t>0</t>
        </is>
      </c>
      <c r="K897" t="inlineStr">
        <is>
          <t>Görres, Joseph von, 1776-1848.</t>
        </is>
      </c>
      <c r="L897" t="inlineStr">
        <is>
          <t>Paris : Mme Vve Poussielgue-Rusand, 1854-55.</t>
        </is>
      </c>
      <c r="M897" t="inlineStr">
        <is>
          <t>1854</t>
        </is>
      </c>
      <c r="O897" t="inlineStr">
        <is>
          <t>fre</t>
        </is>
      </c>
      <c r="P897" t="inlineStr">
        <is>
          <t xml:space="preserve">fr </t>
        </is>
      </c>
      <c r="R897" t="inlineStr">
        <is>
          <t xml:space="preserve">BV </t>
        </is>
      </c>
      <c r="S897" t="n">
        <v>2</v>
      </c>
      <c r="T897" t="n">
        <v>10</v>
      </c>
      <c r="U897" t="inlineStr">
        <is>
          <t>1993-08-12</t>
        </is>
      </c>
      <c r="V897" t="inlineStr">
        <is>
          <t>2009-11-03</t>
        </is>
      </c>
      <c r="W897" t="inlineStr">
        <is>
          <t>1992-03-18</t>
        </is>
      </c>
      <c r="X897" t="inlineStr">
        <is>
          <t>1992-03-18</t>
        </is>
      </c>
      <c r="Y897" t="n">
        <v>64</v>
      </c>
      <c r="Z897" t="n">
        <v>44</v>
      </c>
      <c r="AA897" t="n">
        <v>72</v>
      </c>
      <c r="AB897" t="n">
        <v>1</v>
      </c>
      <c r="AC897" t="n">
        <v>2</v>
      </c>
      <c r="AD897" t="n">
        <v>5</v>
      </c>
      <c r="AE897" t="n">
        <v>9</v>
      </c>
      <c r="AF897" t="n">
        <v>1</v>
      </c>
      <c r="AG897" t="n">
        <v>1</v>
      </c>
      <c r="AH897" t="n">
        <v>1</v>
      </c>
      <c r="AI897" t="n">
        <v>2</v>
      </c>
      <c r="AJ897" t="n">
        <v>3</v>
      </c>
      <c r="AK897" t="n">
        <v>5</v>
      </c>
      <c r="AL897" t="n">
        <v>0</v>
      </c>
      <c r="AM897" t="n">
        <v>1</v>
      </c>
      <c r="AN897" t="n">
        <v>0</v>
      </c>
      <c r="AO897" t="n">
        <v>0</v>
      </c>
      <c r="AP897" t="inlineStr">
        <is>
          <t>Yes</t>
        </is>
      </c>
      <c r="AQ897" t="inlineStr">
        <is>
          <t>No</t>
        </is>
      </c>
      <c r="AR897">
        <f>HYPERLINK("http://catalog.hathitrust.org/Record/100675523","HathiTrust Record")</f>
        <v/>
      </c>
      <c r="AS897">
        <f>HYPERLINK("https://creighton-primo.hosted.exlibrisgroup.com/primo-explore/search?tab=default_tab&amp;search_scope=EVERYTHING&amp;vid=01CRU&amp;lang=en_US&amp;offset=0&amp;query=any,contains,991004164519702656","Catalog Record")</f>
        <v/>
      </c>
      <c r="AT897">
        <f>HYPERLINK("http://www.worldcat.org/oclc/2562601","WorldCat Record")</f>
        <v/>
      </c>
      <c r="AU897" t="inlineStr">
        <is>
          <t>29341165:fre</t>
        </is>
      </c>
      <c r="AV897" t="inlineStr">
        <is>
          <t>2562601</t>
        </is>
      </c>
      <c r="AW897" t="inlineStr">
        <is>
          <t>991004164519702656</t>
        </is>
      </c>
      <c r="AX897" t="inlineStr">
        <is>
          <t>991004164519702656</t>
        </is>
      </c>
      <c r="AY897" t="inlineStr">
        <is>
          <t>2259483250002656</t>
        </is>
      </c>
      <c r="AZ897" t="inlineStr">
        <is>
          <t>BOOK</t>
        </is>
      </c>
      <c r="BC897" t="inlineStr">
        <is>
          <t>32285001015790</t>
        </is>
      </c>
      <c r="BD897" t="inlineStr">
        <is>
          <t>893229009</t>
        </is>
      </c>
    </row>
    <row r="898">
      <c r="A898" t="inlineStr">
        <is>
          <t>No</t>
        </is>
      </c>
      <c r="B898" t="inlineStr">
        <is>
          <t>BV5081 .G6 1854</t>
        </is>
      </c>
      <c r="C898" t="inlineStr">
        <is>
          <t>0                      BV 5081000G  6           1854</t>
        </is>
      </c>
      <c r="D898" t="inlineStr">
        <is>
          <t>La mystique divine, naturelle, et diabolique / par Görres, ouvrage traduit de l'allemand par M. Charles Sainte-Foi.</t>
        </is>
      </c>
      <c r="E898" t="inlineStr">
        <is>
          <t>V.3</t>
        </is>
      </c>
      <c r="F898" t="inlineStr">
        <is>
          <t>Yes</t>
        </is>
      </c>
      <c r="G898" t="inlineStr">
        <is>
          <t>1</t>
        </is>
      </c>
      <c r="H898" t="inlineStr">
        <is>
          <t>No</t>
        </is>
      </c>
      <c r="I898" t="inlineStr">
        <is>
          <t>No</t>
        </is>
      </c>
      <c r="J898" t="inlineStr">
        <is>
          <t>0</t>
        </is>
      </c>
      <c r="K898" t="inlineStr">
        <is>
          <t>Görres, Joseph von, 1776-1848.</t>
        </is>
      </c>
      <c r="L898" t="inlineStr">
        <is>
          <t>Paris : Mme Vve Poussielgue-Rusand, 1854-55.</t>
        </is>
      </c>
      <c r="M898" t="inlineStr">
        <is>
          <t>1854</t>
        </is>
      </c>
      <c r="O898" t="inlineStr">
        <is>
          <t>fre</t>
        </is>
      </c>
      <c r="P898" t="inlineStr">
        <is>
          <t xml:space="preserve">fr </t>
        </is>
      </c>
      <c r="R898" t="inlineStr">
        <is>
          <t xml:space="preserve">BV </t>
        </is>
      </c>
      <c r="S898" t="n">
        <v>2</v>
      </c>
      <c r="T898" t="n">
        <v>10</v>
      </c>
      <c r="U898" t="inlineStr">
        <is>
          <t>1993-08-12</t>
        </is>
      </c>
      <c r="V898" t="inlineStr">
        <is>
          <t>2009-11-03</t>
        </is>
      </c>
      <c r="W898" t="inlineStr">
        <is>
          <t>1992-03-18</t>
        </is>
      </c>
      <c r="X898" t="inlineStr">
        <is>
          <t>1992-03-18</t>
        </is>
      </c>
      <c r="Y898" t="n">
        <v>64</v>
      </c>
      <c r="Z898" t="n">
        <v>44</v>
      </c>
      <c r="AA898" t="n">
        <v>72</v>
      </c>
      <c r="AB898" t="n">
        <v>1</v>
      </c>
      <c r="AC898" t="n">
        <v>2</v>
      </c>
      <c r="AD898" t="n">
        <v>5</v>
      </c>
      <c r="AE898" t="n">
        <v>9</v>
      </c>
      <c r="AF898" t="n">
        <v>1</v>
      </c>
      <c r="AG898" t="n">
        <v>1</v>
      </c>
      <c r="AH898" t="n">
        <v>1</v>
      </c>
      <c r="AI898" t="n">
        <v>2</v>
      </c>
      <c r="AJ898" t="n">
        <v>3</v>
      </c>
      <c r="AK898" t="n">
        <v>5</v>
      </c>
      <c r="AL898" t="n">
        <v>0</v>
      </c>
      <c r="AM898" t="n">
        <v>1</v>
      </c>
      <c r="AN898" t="n">
        <v>0</v>
      </c>
      <c r="AO898" t="n">
        <v>0</v>
      </c>
      <c r="AP898" t="inlineStr">
        <is>
          <t>Yes</t>
        </is>
      </c>
      <c r="AQ898" t="inlineStr">
        <is>
          <t>No</t>
        </is>
      </c>
      <c r="AR898">
        <f>HYPERLINK("http://catalog.hathitrust.org/Record/100675523","HathiTrust Record")</f>
        <v/>
      </c>
      <c r="AS898">
        <f>HYPERLINK("https://creighton-primo.hosted.exlibrisgroup.com/primo-explore/search?tab=default_tab&amp;search_scope=EVERYTHING&amp;vid=01CRU&amp;lang=en_US&amp;offset=0&amp;query=any,contains,991004164519702656","Catalog Record")</f>
        <v/>
      </c>
      <c r="AT898">
        <f>HYPERLINK("http://www.worldcat.org/oclc/2562601","WorldCat Record")</f>
        <v/>
      </c>
      <c r="AU898" t="inlineStr">
        <is>
          <t>29341165:fre</t>
        </is>
      </c>
      <c r="AV898" t="inlineStr">
        <is>
          <t>2562601</t>
        </is>
      </c>
      <c r="AW898" t="inlineStr">
        <is>
          <t>991004164519702656</t>
        </is>
      </c>
      <c r="AX898" t="inlineStr">
        <is>
          <t>991004164519702656</t>
        </is>
      </c>
      <c r="AY898" t="inlineStr">
        <is>
          <t>2259483250002656</t>
        </is>
      </c>
      <c r="AZ898" t="inlineStr">
        <is>
          <t>BOOK</t>
        </is>
      </c>
      <c r="BC898" t="inlineStr">
        <is>
          <t>32285001015774</t>
        </is>
      </c>
      <c r="BD898" t="inlineStr">
        <is>
          <t>893235136</t>
        </is>
      </c>
    </row>
    <row r="899">
      <c r="A899" t="inlineStr">
        <is>
          <t>No</t>
        </is>
      </c>
      <c r="B899" t="inlineStr">
        <is>
          <t>BV5081 .G6 1854</t>
        </is>
      </c>
      <c r="C899" t="inlineStr">
        <is>
          <t>0                      BV 5081000G  6           1854</t>
        </is>
      </c>
      <c r="D899" t="inlineStr">
        <is>
          <t>La mystique divine, naturelle, et diabolique / par Görres, ouvrage traduit de l'allemand par M. Charles Sainte-Foi.</t>
        </is>
      </c>
      <c r="E899" t="inlineStr">
        <is>
          <t>V.4</t>
        </is>
      </c>
      <c r="F899" t="inlineStr">
        <is>
          <t>Yes</t>
        </is>
      </c>
      <c r="G899" t="inlineStr">
        <is>
          <t>1</t>
        </is>
      </c>
      <c r="H899" t="inlineStr">
        <is>
          <t>No</t>
        </is>
      </c>
      <c r="I899" t="inlineStr">
        <is>
          <t>No</t>
        </is>
      </c>
      <c r="J899" t="inlineStr">
        <is>
          <t>0</t>
        </is>
      </c>
      <c r="K899" t="inlineStr">
        <is>
          <t>Görres, Joseph von, 1776-1848.</t>
        </is>
      </c>
      <c r="L899" t="inlineStr">
        <is>
          <t>Paris : Mme Vve Poussielgue-Rusand, 1854-55.</t>
        </is>
      </c>
      <c r="M899" t="inlineStr">
        <is>
          <t>1854</t>
        </is>
      </c>
      <c r="O899" t="inlineStr">
        <is>
          <t>fre</t>
        </is>
      </c>
      <c r="P899" t="inlineStr">
        <is>
          <t xml:space="preserve">fr </t>
        </is>
      </c>
      <c r="R899" t="inlineStr">
        <is>
          <t xml:space="preserve">BV </t>
        </is>
      </c>
      <c r="S899" t="n">
        <v>2</v>
      </c>
      <c r="T899" t="n">
        <v>10</v>
      </c>
      <c r="U899" t="inlineStr">
        <is>
          <t>1993-08-12</t>
        </is>
      </c>
      <c r="V899" t="inlineStr">
        <is>
          <t>2009-11-03</t>
        </is>
      </c>
      <c r="W899" t="inlineStr">
        <is>
          <t>1992-03-18</t>
        </is>
      </c>
      <c r="X899" t="inlineStr">
        <is>
          <t>1992-03-18</t>
        </is>
      </c>
      <c r="Y899" t="n">
        <v>64</v>
      </c>
      <c r="Z899" t="n">
        <v>44</v>
      </c>
      <c r="AA899" t="n">
        <v>72</v>
      </c>
      <c r="AB899" t="n">
        <v>1</v>
      </c>
      <c r="AC899" t="n">
        <v>2</v>
      </c>
      <c r="AD899" t="n">
        <v>5</v>
      </c>
      <c r="AE899" t="n">
        <v>9</v>
      </c>
      <c r="AF899" t="n">
        <v>1</v>
      </c>
      <c r="AG899" t="n">
        <v>1</v>
      </c>
      <c r="AH899" t="n">
        <v>1</v>
      </c>
      <c r="AI899" t="n">
        <v>2</v>
      </c>
      <c r="AJ899" t="n">
        <v>3</v>
      </c>
      <c r="AK899" t="n">
        <v>5</v>
      </c>
      <c r="AL899" t="n">
        <v>0</v>
      </c>
      <c r="AM899" t="n">
        <v>1</v>
      </c>
      <c r="AN899" t="n">
        <v>0</v>
      </c>
      <c r="AO899" t="n">
        <v>0</v>
      </c>
      <c r="AP899" t="inlineStr">
        <is>
          <t>Yes</t>
        </is>
      </c>
      <c r="AQ899" t="inlineStr">
        <is>
          <t>No</t>
        </is>
      </c>
      <c r="AR899">
        <f>HYPERLINK("http://catalog.hathitrust.org/Record/100675523","HathiTrust Record")</f>
        <v/>
      </c>
      <c r="AS899">
        <f>HYPERLINK("https://creighton-primo.hosted.exlibrisgroup.com/primo-explore/search?tab=default_tab&amp;search_scope=EVERYTHING&amp;vid=01CRU&amp;lang=en_US&amp;offset=0&amp;query=any,contains,991004164519702656","Catalog Record")</f>
        <v/>
      </c>
      <c r="AT899">
        <f>HYPERLINK("http://www.worldcat.org/oclc/2562601","WorldCat Record")</f>
        <v/>
      </c>
      <c r="AU899" t="inlineStr">
        <is>
          <t>29341165:fre</t>
        </is>
      </c>
      <c r="AV899" t="inlineStr">
        <is>
          <t>2562601</t>
        </is>
      </c>
      <c r="AW899" t="inlineStr">
        <is>
          <t>991004164519702656</t>
        </is>
      </c>
      <c r="AX899" t="inlineStr">
        <is>
          <t>991004164519702656</t>
        </is>
      </c>
      <c r="AY899" t="inlineStr">
        <is>
          <t>2259483250002656</t>
        </is>
      </c>
      <c r="AZ899" t="inlineStr">
        <is>
          <t>BOOK</t>
        </is>
      </c>
      <c r="BC899" t="inlineStr">
        <is>
          <t>32285001015782</t>
        </is>
      </c>
      <c r="BD899" t="inlineStr">
        <is>
          <t>893229010</t>
        </is>
      </c>
    </row>
    <row r="900">
      <c r="A900" t="inlineStr">
        <is>
          <t>No</t>
        </is>
      </c>
      <c r="B900" t="inlineStr">
        <is>
          <t>BV5081 .G6 1854</t>
        </is>
      </c>
      <c r="C900" t="inlineStr">
        <is>
          <t>0                      BV 5081000G  6           1854</t>
        </is>
      </c>
      <c r="D900" t="inlineStr">
        <is>
          <t>La mystique divine, naturelle, et diabolique / par Görres, ouvrage traduit de l'allemand par M. Charles Sainte-Foi.</t>
        </is>
      </c>
      <c r="E900" t="inlineStr">
        <is>
          <t>V.2</t>
        </is>
      </c>
      <c r="F900" t="inlineStr">
        <is>
          <t>Yes</t>
        </is>
      </c>
      <c r="G900" t="inlineStr">
        <is>
          <t>1</t>
        </is>
      </c>
      <c r="H900" t="inlineStr">
        <is>
          <t>No</t>
        </is>
      </c>
      <c r="I900" t="inlineStr">
        <is>
          <t>No</t>
        </is>
      </c>
      <c r="J900" t="inlineStr">
        <is>
          <t>0</t>
        </is>
      </c>
      <c r="K900" t="inlineStr">
        <is>
          <t>Görres, Joseph von, 1776-1848.</t>
        </is>
      </c>
      <c r="L900" t="inlineStr">
        <is>
          <t>Paris : Mme Vve Poussielgue-Rusand, 1854-55.</t>
        </is>
      </c>
      <c r="M900" t="inlineStr">
        <is>
          <t>1854</t>
        </is>
      </c>
      <c r="O900" t="inlineStr">
        <is>
          <t>fre</t>
        </is>
      </c>
      <c r="P900" t="inlineStr">
        <is>
          <t xml:space="preserve">fr </t>
        </is>
      </c>
      <c r="R900" t="inlineStr">
        <is>
          <t xml:space="preserve">BV </t>
        </is>
      </c>
      <c r="S900" t="n">
        <v>2</v>
      </c>
      <c r="T900" t="n">
        <v>10</v>
      </c>
      <c r="U900" t="inlineStr">
        <is>
          <t>2009-11-03</t>
        </is>
      </c>
      <c r="V900" t="inlineStr">
        <is>
          <t>2009-11-03</t>
        </is>
      </c>
      <c r="W900" t="inlineStr">
        <is>
          <t>1992-03-18</t>
        </is>
      </c>
      <c r="X900" t="inlineStr">
        <is>
          <t>1992-03-18</t>
        </is>
      </c>
      <c r="Y900" t="n">
        <v>64</v>
      </c>
      <c r="Z900" t="n">
        <v>44</v>
      </c>
      <c r="AA900" t="n">
        <v>72</v>
      </c>
      <c r="AB900" t="n">
        <v>1</v>
      </c>
      <c r="AC900" t="n">
        <v>2</v>
      </c>
      <c r="AD900" t="n">
        <v>5</v>
      </c>
      <c r="AE900" t="n">
        <v>9</v>
      </c>
      <c r="AF900" t="n">
        <v>1</v>
      </c>
      <c r="AG900" t="n">
        <v>1</v>
      </c>
      <c r="AH900" t="n">
        <v>1</v>
      </c>
      <c r="AI900" t="n">
        <v>2</v>
      </c>
      <c r="AJ900" t="n">
        <v>3</v>
      </c>
      <c r="AK900" t="n">
        <v>5</v>
      </c>
      <c r="AL900" t="n">
        <v>0</v>
      </c>
      <c r="AM900" t="n">
        <v>1</v>
      </c>
      <c r="AN900" t="n">
        <v>0</v>
      </c>
      <c r="AO900" t="n">
        <v>0</v>
      </c>
      <c r="AP900" t="inlineStr">
        <is>
          <t>Yes</t>
        </is>
      </c>
      <c r="AQ900" t="inlineStr">
        <is>
          <t>No</t>
        </is>
      </c>
      <c r="AR900">
        <f>HYPERLINK("http://catalog.hathitrust.org/Record/100675523","HathiTrust Record")</f>
        <v/>
      </c>
      <c r="AS900">
        <f>HYPERLINK("https://creighton-primo.hosted.exlibrisgroup.com/primo-explore/search?tab=default_tab&amp;search_scope=EVERYTHING&amp;vid=01CRU&amp;lang=en_US&amp;offset=0&amp;query=any,contains,991004164519702656","Catalog Record")</f>
        <v/>
      </c>
      <c r="AT900">
        <f>HYPERLINK("http://www.worldcat.org/oclc/2562601","WorldCat Record")</f>
        <v/>
      </c>
      <c r="AU900" t="inlineStr">
        <is>
          <t>29341165:fre</t>
        </is>
      </c>
      <c r="AV900" t="inlineStr">
        <is>
          <t>2562601</t>
        </is>
      </c>
      <c r="AW900" t="inlineStr">
        <is>
          <t>991004164519702656</t>
        </is>
      </c>
      <c r="AX900" t="inlineStr">
        <is>
          <t>991004164519702656</t>
        </is>
      </c>
      <c r="AY900" t="inlineStr">
        <is>
          <t>2259483250002656</t>
        </is>
      </c>
      <c r="AZ900" t="inlineStr">
        <is>
          <t>BOOK</t>
        </is>
      </c>
      <c r="BC900" t="inlineStr">
        <is>
          <t>32285001015766</t>
        </is>
      </c>
      <c r="BD900" t="inlineStr">
        <is>
          <t>893253328</t>
        </is>
      </c>
    </row>
    <row r="901">
      <c r="A901" t="inlineStr">
        <is>
          <t>No</t>
        </is>
      </c>
      <c r="B901" t="inlineStr">
        <is>
          <t>BV5081 .G6 1854</t>
        </is>
      </c>
      <c r="C901" t="inlineStr">
        <is>
          <t>0                      BV 5081000G  6           1854</t>
        </is>
      </c>
      <c r="D901" t="inlineStr">
        <is>
          <t>La mystique divine, naturelle, et diabolique / par Görres, ouvrage traduit de l'allemand par M. Charles Sainte-Foi.</t>
        </is>
      </c>
      <c r="E901" t="inlineStr">
        <is>
          <t>V.1</t>
        </is>
      </c>
      <c r="F901" t="inlineStr">
        <is>
          <t>Yes</t>
        </is>
      </c>
      <c r="G901" t="inlineStr">
        <is>
          <t>1</t>
        </is>
      </c>
      <c r="H901" t="inlineStr">
        <is>
          <t>No</t>
        </is>
      </c>
      <c r="I901" t="inlineStr">
        <is>
          <t>No</t>
        </is>
      </c>
      <c r="J901" t="inlineStr">
        <is>
          <t>0</t>
        </is>
      </c>
      <c r="K901" t="inlineStr">
        <is>
          <t>Görres, Joseph von, 1776-1848.</t>
        </is>
      </c>
      <c r="L901" t="inlineStr">
        <is>
          <t>Paris : Mme Vve Poussielgue-Rusand, 1854-55.</t>
        </is>
      </c>
      <c r="M901" t="inlineStr">
        <is>
          <t>1854</t>
        </is>
      </c>
      <c r="O901" t="inlineStr">
        <is>
          <t>fre</t>
        </is>
      </c>
      <c r="P901" t="inlineStr">
        <is>
          <t xml:space="preserve">fr </t>
        </is>
      </c>
      <c r="R901" t="inlineStr">
        <is>
          <t xml:space="preserve">BV </t>
        </is>
      </c>
      <c r="S901" t="n">
        <v>2</v>
      </c>
      <c r="T901" t="n">
        <v>10</v>
      </c>
      <c r="U901" t="inlineStr">
        <is>
          <t>2009-11-03</t>
        </is>
      </c>
      <c r="V901" t="inlineStr">
        <is>
          <t>2009-11-03</t>
        </is>
      </c>
      <c r="W901" t="inlineStr">
        <is>
          <t>1992-03-18</t>
        </is>
      </c>
      <c r="X901" t="inlineStr">
        <is>
          <t>1992-03-18</t>
        </is>
      </c>
      <c r="Y901" t="n">
        <v>64</v>
      </c>
      <c r="Z901" t="n">
        <v>44</v>
      </c>
      <c r="AA901" t="n">
        <v>72</v>
      </c>
      <c r="AB901" t="n">
        <v>1</v>
      </c>
      <c r="AC901" t="n">
        <v>2</v>
      </c>
      <c r="AD901" t="n">
        <v>5</v>
      </c>
      <c r="AE901" t="n">
        <v>9</v>
      </c>
      <c r="AF901" t="n">
        <v>1</v>
      </c>
      <c r="AG901" t="n">
        <v>1</v>
      </c>
      <c r="AH901" t="n">
        <v>1</v>
      </c>
      <c r="AI901" t="n">
        <v>2</v>
      </c>
      <c r="AJ901" t="n">
        <v>3</v>
      </c>
      <c r="AK901" t="n">
        <v>5</v>
      </c>
      <c r="AL901" t="n">
        <v>0</v>
      </c>
      <c r="AM901" t="n">
        <v>1</v>
      </c>
      <c r="AN901" t="n">
        <v>0</v>
      </c>
      <c r="AO901" t="n">
        <v>0</v>
      </c>
      <c r="AP901" t="inlineStr">
        <is>
          <t>Yes</t>
        </is>
      </c>
      <c r="AQ901" t="inlineStr">
        <is>
          <t>No</t>
        </is>
      </c>
      <c r="AR901">
        <f>HYPERLINK("http://catalog.hathitrust.org/Record/100675523","HathiTrust Record")</f>
        <v/>
      </c>
      <c r="AS901">
        <f>HYPERLINK("https://creighton-primo.hosted.exlibrisgroup.com/primo-explore/search?tab=default_tab&amp;search_scope=EVERYTHING&amp;vid=01CRU&amp;lang=en_US&amp;offset=0&amp;query=any,contains,991004164519702656","Catalog Record")</f>
        <v/>
      </c>
      <c r="AT901">
        <f>HYPERLINK("http://www.worldcat.org/oclc/2562601","WorldCat Record")</f>
        <v/>
      </c>
      <c r="AU901" t="inlineStr">
        <is>
          <t>29341165:fre</t>
        </is>
      </c>
      <c r="AV901" t="inlineStr">
        <is>
          <t>2562601</t>
        </is>
      </c>
      <c r="AW901" t="inlineStr">
        <is>
          <t>991004164519702656</t>
        </is>
      </c>
      <c r="AX901" t="inlineStr">
        <is>
          <t>991004164519702656</t>
        </is>
      </c>
      <c r="AY901" t="inlineStr">
        <is>
          <t>2259483250002656</t>
        </is>
      </c>
      <c r="AZ901" t="inlineStr">
        <is>
          <t>BOOK</t>
        </is>
      </c>
      <c r="BC901" t="inlineStr">
        <is>
          <t>32285001015758</t>
        </is>
      </c>
      <c r="BD901" t="inlineStr">
        <is>
          <t>893241095</t>
        </is>
      </c>
    </row>
    <row r="902">
      <c r="A902" t="inlineStr">
        <is>
          <t>No</t>
        </is>
      </c>
      <c r="B902" t="inlineStr">
        <is>
          <t>BV5082 .B3 1961</t>
        </is>
      </c>
      <c r="C902" t="inlineStr">
        <is>
          <t>0                      BV 5082000B  3           1961</t>
        </is>
      </c>
      <c r="D902" t="inlineStr">
        <is>
          <t>Great Western mystics : their lasting significance / by David Baumgardt.</t>
        </is>
      </c>
      <c r="F902" t="inlineStr">
        <is>
          <t>No</t>
        </is>
      </c>
      <c r="G902" t="inlineStr">
        <is>
          <t>1</t>
        </is>
      </c>
      <c r="H902" t="inlineStr">
        <is>
          <t>No</t>
        </is>
      </c>
      <c r="I902" t="inlineStr">
        <is>
          <t>No</t>
        </is>
      </c>
      <c r="J902" t="inlineStr">
        <is>
          <t>0</t>
        </is>
      </c>
      <c r="K902" t="inlineStr">
        <is>
          <t>Baumgardt, David, 1890-1963.</t>
        </is>
      </c>
      <c r="L902" t="inlineStr">
        <is>
          <t>New York, Columbia University Press, 1961.</t>
        </is>
      </c>
      <c r="M902" t="inlineStr">
        <is>
          <t>1961</t>
        </is>
      </c>
      <c r="O902" t="inlineStr">
        <is>
          <t>eng</t>
        </is>
      </c>
      <c r="P902" t="inlineStr">
        <is>
          <t>___</t>
        </is>
      </c>
      <c r="Q902" t="inlineStr">
        <is>
          <t>Matchette Foundation lectures ; no. 4</t>
        </is>
      </c>
      <c r="R902" t="inlineStr">
        <is>
          <t xml:space="preserve">BV </t>
        </is>
      </c>
      <c r="S902" t="n">
        <v>5</v>
      </c>
      <c r="T902" t="n">
        <v>5</v>
      </c>
      <c r="U902" t="inlineStr">
        <is>
          <t>2002-04-11</t>
        </is>
      </c>
      <c r="V902" t="inlineStr">
        <is>
          <t>2002-04-11</t>
        </is>
      </c>
      <c r="W902" t="inlineStr">
        <is>
          <t>1992-03-18</t>
        </is>
      </c>
      <c r="X902" t="inlineStr">
        <is>
          <t>1992-03-18</t>
        </is>
      </c>
      <c r="Y902" t="n">
        <v>463</v>
      </c>
      <c r="Z902" t="n">
        <v>421</v>
      </c>
      <c r="AA902" t="n">
        <v>432</v>
      </c>
      <c r="AB902" t="n">
        <v>6</v>
      </c>
      <c r="AC902" t="n">
        <v>6</v>
      </c>
      <c r="AD902" t="n">
        <v>21</v>
      </c>
      <c r="AE902" t="n">
        <v>21</v>
      </c>
      <c r="AF902" t="n">
        <v>5</v>
      </c>
      <c r="AG902" t="n">
        <v>5</v>
      </c>
      <c r="AH902" t="n">
        <v>4</v>
      </c>
      <c r="AI902" t="n">
        <v>4</v>
      </c>
      <c r="AJ902" t="n">
        <v>12</v>
      </c>
      <c r="AK902" t="n">
        <v>12</v>
      </c>
      <c r="AL902" t="n">
        <v>5</v>
      </c>
      <c r="AM902" t="n">
        <v>5</v>
      </c>
      <c r="AN902" t="n">
        <v>0</v>
      </c>
      <c r="AO902" t="n">
        <v>0</v>
      </c>
      <c r="AP902" t="inlineStr">
        <is>
          <t>No</t>
        </is>
      </c>
      <c r="AQ902" t="inlineStr">
        <is>
          <t>No</t>
        </is>
      </c>
      <c r="AR902">
        <f>HYPERLINK("http://catalog.hathitrust.org/Record/001415078","HathiTrust Record")</f>
        <v/>
      </c>
      <c r="AS902">
        <f>HYPERLINK("https://creighton-primo.hosted.exlibrisgroup.com/primo-explore/search?tab=default_tab&amp;search_scope=EVERYTHING&amp;vid=01CRU&amp;lang=en_US&amp;offset=0&amp;query=any,contains,991002645609702656","Catalog Record")</f>
        <v/>
      </c>
      <c r="AT902">
        <f>HYPERLINK("http://www.worldcat.org/oclc/385743","WorldCat Record")</f>
        <v/>
      </c>
      <c r="AU902" t="inlineStr">
        <is>
          <t>1508711:eng</t>
        </is>
      </c>
      <c r="AV902" t="inlineStr">
        <is>
          <t>385743</t>
        </is>
      </c>
      <c r="AW902" t="inlineStr">
        <is>
          <t>991002645609702656</t>
        </is>
      </c>
      <c r="AX902" t="inlineStr">
        <is>
          <t>991002645609702656</t>
        </is>
      </c>
      <c r="AY902" t="inlineStr">
        <is>
          <t>2258858600002656</t>
        </is>
      </c>
      <c r="AZ902" t="inlineStr">
        <is>
          <t>BOOK</t>
        </is>
      </c>
      <c r="BC902" t="inlineStr">
        <is>
          <t>32285001015816</t>
        </is>
      </c>
      <c r="BD902" t="inlineStr">
        <is>
          <t>893233221</t>
        </is>
      </c>
    </row>
    <row r="903">
      <c r="A903" t="inlineStr">
        <is>
          <t>No</t>
        </is>
      </c>
      <c r="B903" t="inlineStr">
        <is>
          <t>BV5082 .B45 1907</t>
        </is>
      </c>
      <c r="C903" t="inlineStr">
        <is>
          <t>0                      BV 5082000B  45          1907</t>
        </is>
      </c>
      <c r="D903" t="inlineStr">
        <is>
          <t>Mysticism / by R.H. Benson.</t>
        </is>
      </c>
      <c r="F903" t="inlineStr">
        <is>
          <t>No</t>
        </is>
      </c>
      <c r="G903" t="inlineStr">
        <is>
          <t>1</t>
        </is>
      </c>
      <c r="H903" t="inlineStr">
        <is>
          <t>No</t>
        </is>
      </c>
      <c r="I903" t="inlineStr">
        <is>
          <t>No</t>
        </is>
      </c>
      <c r="J903" t="inlineStr">
        <is>
          <t>0</t>
        </is>
      </c>
      <c r="K903" t="inlineStr">
        <is>
          <t>Benson, Robert Hugh, 1871-1914.</t>
        </is>
      </c>
      <c r="L903" t="inlineStr">
        <is>
          <t>London : Sands ; St. Louis, MO : B. Herder, 1907.</t>
        </is>
      </c>
      <c r="M903" t="inlineStr">
        <is>
          <t>1907</t>
        </is>
      </c>
      <c r="O903" t="inlineStr">
        <is>
          <t>eng</t>
        </is>
      </c>
      <c r="P903" t="inlineStr">
        <is>
          <t>enk</t>
        </is>
      </c>
      <c r="Q903" t="inlineStr">
        <is>
          <t>Westminster lectures, 3d series</t>
        </is>
      </c>
      <c r="R903" t="inlineStr">
        <is>
          <t xml:space="preserve">BV </t>
        </is>
      </c>
      <c r="S903" t="n">
        <v>2</v>
      </c>
      <c r="T903" t="n">
        <v>2</v>
      </c>
      <c r="U903" t="inlineStr">
        <is>
          <t>1999-07-14</t>
        </is>
      </c>
      <c r="V903" t="inlineStr">
        <is>
          <t>1999-07-14</t>
        </is>
      </c>
      <c r="W903" t="inlineStr">
        <is>
          <t>1992-03-18</t>
        </is>
      </c>
      <c r="X903" t="inlineStr">
        <is>
          <t>1992-03-18</t>
        </is>
      </c>
      <c r="Y903" t="n">
        <v>54</v>
      </c>
      <c r="Z903" t="n">
        <v>48</v>
      </c>
      <c r="AA903" t="n">
        <v>49</v>
      </c>
      <c r="AB903" t="n">
        <v>1</v>
      </c>
      <c r="AC903" t="n">
        <v>1</v>
      </c>
      <c r="AD903" t="n">
        <v>11</v>
      </c>
      <c r="AE903" t="n">
        <v>11</v>
      </c>
      <c r="AF903" t="n">
        <v>1</v>
      </c>
      <c r="AG903" t="n">
        <v>1</v>
      </c>
      <c r="AH903" t="n">
        <v>4</v>
      </c>
      <c r="AI903" t="n">
        <v>4</v>
      </c>
      <c r="AJ903" t="n">
        <v>9</v>
      </c>
      <c r="AK903" t="n">
        <v>9</v>
      </c>
      <c r="AL903" t="n">
        <v>0</v>
      </c>
      <c r="AM903" t="n">
        <v>0</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HYPERLINK("https://creighton-primo.hosted.exlibrisgroup.com/primo-explore/search?tab=default_tab&amp;search_scope=EVERYTHING&amp;vid=01CRU&amp;lang=en_US&amp;offset=0&amp;query=any,contains,991004510719702656","Catalog Record")</f>
        <v/>
      </c>
      <c r="AT903">
        <f>HYPERLINK("http://www.worldcat.org/oclc/3763058","WorldCat Record")</f>
        <v/>
      </c>
      <c r="AU903" t="inlineStr">
        <is>
          <t>12009767:eng</t>
        </is>
      </c>
      <c r="AV903" t="inlineStr">
        <is>
          <t>3763058</t>
        </is>
      </c>
      <c r="AW903" t="inlineStr">
        <is>
          <t>991004510719702656</t>
        </is>
      </c>
      <c r="AX903" t="inlineStr">
        <is>
          <t>991004510719702656</t>
        </is>
      </c>
      <c r="AY903" t="inlineStr">
        <is>
          <t>2255025960002656</t>
        </is>
      </c>
      <c r="AZ903" t="inlineStr">
        <is>
          <t>BOOK</t>
        </is>
      </c>
      <c r="BC903" t="inlineStr">
        <is>
          <t>32285001015824</t>
        </is>
      </c>
      <c r="BD903" t="inlineStr">
        <is>
          <t>893901308</t>
        </is>
      </c>
    </row>
    <row r="904">
      <c r="A904" t="inlineStr">
        <is>
          <t>No</t>
        </is>
      </c>
      <c r="B904" t="inlineStr">
        <is>
          <t>BV5082 .D49 1903</t>
        </is>
      </c>
      <c r="C904" t="inlineStr">
        <is>
          <t>0                      BV 5082000D  49          1903</t>
        </is>
      </c>
      <c r="D904" t="inlineStr">
        <is>
          <t>A manual of mystical theology : or, The extraordinary graces of the supernatural life explained / by Arthur Devine.</t>
        </is>
      </c>
      <c r="F904" t="inlineStr">
        <is>
          <t>No</t>
        </is>
      </c>
      <c r="G904" t="inlineStr">
        <is>
          <t>1</t>
        </is>
      </c>
      <c r="H904" t="inlineStr">
        <is>
          <t>No</t>
        </is>
      </c>
      <c r="I904" t="inlineStr">
        <is>
          <t>No</t>
        </is>
      </c>
      <c r="J904" t="inlineStr">
        <is>
          <t>0</t>
        </is>
      </c>
      <c r="K904" t="inlineStr">
        <is>
          <t>Devine, Arthur, 1849-1919.</t>
        </is>
      </c>
      <c r="L904" t="inlineStr">
        <is>
          <t>London : R. &amp; T. Washbourne ; New York : Benziger, 1903.</t>
        </is>
      </c>
      <c r="M904" t="inlineStr">
        <is>
          <t>1903</t>
        </is>
      </c>
      <c r="O904" t="inlineStr">
        <is>
          <t>eng</t>
        </is>
      </c>
      <c r="P904" t="inlineStr">
        <is>
          <t>enk</t>
        </is>
      </c>
      <c r="R904" t="inlineStr">
        <is>
          <t xml:space="preserve">BV </t>
        </is>
      </c>
      <c r="S904" t="n">
        <v>4</v>
      </c>
      <c r="T904" t="n">
        <v>4</v>
      </c>
      <c r="U904" t="inlineStr">
        <is>
          <t>2000-11-30</t>
        </is>
      </c>
      <c r="V904" t="inlineStr">
        <is>
          <t>2000-11-30</t>
        </is>
      </c>
      <c r="W904" t="inlineStr">
        <is>
          <t>1992-03-18</t>
        </is>
      </c>
      <c r="X904" t="inlineStr">
        <is>
          <t>1992-03-18</t>
        </is>
      </c>
      <c r="Y904" t="n">
        <v>73</v>
      </c>
      <c r="Z904" t="n">
        <v>51</v>
      </c>
      <c r="AA904" t="n">
        <v>72</v>
      </c>
      <c r="AB904" t="n">
        <v>1</v>
      </c>
      <c r="AC904" t="n">
        <v>1</v>
      </c>
      <c r="AD904" t="n">
        <v>7</v>
      </c>
      <c r="AE904" t="n">
        <v>7</v>
      </c>
      <c r="AF904" t="n">
        <v>0</v>
      </c>
      <c r="AG904" t="n">
        <v>0</v>
      </c>
      <c r="AH904" t="n">
        <v>2</v>
      </c>
      <c r="AI904" t="n">
        <v>2</v>
      </c>
      <c r="AJ904" t="n">
        <v>5</v>
      </c>
      <c r="AK904" t="n">
        <v>5</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HYPERLINK("https://creighton-primo.hosted.exlibrisgroup.com/primo-explore/search?tab=default_tab&amp;search_scope=EVERYTHING&amp;vid=01CRU&amp;lang=en_US&amp;offset=0&amp;query=any,contains,991004442479702656","Catalog Record")</f>
        <v/>
      </c>
      <c r="AT904">
        <f>HYPERLINK("http://www.worldcat.org/oclc/3469970","WorldCat Record")</f>
        <v/>
      </c>
      <c r="AU904" t="inlineStr">
        <is>
          <t>3901530774:eng</t>
        </is>
      </c>
      <c r="AV904" t="inlineStr">
        <is>
          <t>3469970</t>
        </is>
      </c>
      <c r="AW904" t="inlineStr">
        <is>
          <t>991004442479702656</t>
        </is>
      </c>
      <c r="AX904" t="inlineStr">
        <is>
          <t>991004442479702656</t>
        </is>
      </c>
      <c r="AY904" t="inlineStr">
        <is>
          <t>2258554690002656</t>
        </is>
      </c>
      <c r="AZ904" t="inlineStr">
        <is>
          <t>BOOK</t>
        </is>
      </c>
      <c r="BC904" t="inlineStr">
        <is>
          <t>32285001015840</t>
        </is>
      </c>
      <c r="BD904" t="inlineStr">
        <is>
          <t>893229376</t>
        </is>
      </c>
    </row>
    <row r="905">
      <c r="A905" t="inlineStr">
        <is>
          <t>No</t>
        </is>
      </c>
      <c r="B905" t="inlineStr">
        <is>
          <t>BV5082 .L591 1917</t>
        </is>
      </c>
      <c r="C905" t="inlineStr">
        <is>
          <t>0                      BV 5082000L  591         1917</t>
        </is>
      </c>
      <c r="D905" t="inlineStr">
        <is>
          <t>The mystical life / by S. Louismet.</t>
        </is>
      </c>
      <c r="F905" t="inlineStr">
        <is>
          <t>No</t>
        </is>
      </c>
      <c r="G905" t="inlineStr">
        <is>
          <t>1</t>
        </is>
      </c>
      <c r="H905" t="inlineStr">
        <is>
          <t>No</t>
        </is>
      </c>
      <c r="I905" t="inlineStr">
        <is>
          <t>No</t>
        </is>
      </c>
      <c r="J905" t="inlineStr">
        <is>
          <t>0</t>
        </is>
      </c>
      <c r="K905" t="inlineStr">
        <is>
          <t>Louismet, Dom S. (Dom Savinien), 1858-1926.</t>
        </is>
      </c>
      <c r="L905" t="inlineStr">
        <is>
          <t>London : Burns Oates &amp; Washbourne ; New York : P. J. Kenedy, [1917?]</t>
        </is>
      </c>
      <c r="M905" t="inlineStr">
        <is>
          <t>1917</t>
        </is>
      </c>
      <c r="N905" t="inlineStr">
        <is>
          <t>3d and rev. ed.</t>
        </is>
      </c>
      <c r="O905" t="inlineStr">
        <is>
          <t>eng</t>
        </is>
      </c>
      <c r="P905" t="inlineStr">
        <is>
          <t>___</t>
        </is>
      </c>
      <c r="R905" t="inlineStr">
        <is>
          <t xml:space="preserve">BV </t>
        </is>
      </c>
      <c r="S905" t="n">
        <v>1</v>
      </c>
      <c r="T905" t="n">
        <v>1</v>
      </c>
      <c r="U905" t="inlineStr">
        <is>
          <t>2002-06-15</t>
        </is>
      </c>
      <c r="V905" t="inlineStr">
        <is>
          <t>2002-06-15</t>
        </is>
      </c>
      <c r="W905" t="inlineStr">
        <is>
          <t>1992-03-18</t>
        </is>
      </c>
      <c r="X905" t="inlineStr">
        <is>
          <t>1992-03-18</t>
        </is>
      </c>
      <c r="Y905" t="n">
        <v>30</v>
      </c>
      <c r="Z905" t="n">
        <v>26</v>
      </c>
      <c r="AA905" t="n">
        <v>88</v>
      </c>
      <c r="AB905" t="n">
        <v>1</v>
      </c>
      <c r="AC905" t="n">
        <v>1</v>
      </c>
      <c r="AD905" t="n">
        <v>7</v>
      </c>
      <c r="AE905" t="n">
        <v>14</v>
      </c>
      <c r="AF905" t="n">
        <v>1</v>
      </c>
      <c r="AG905" t="n">
        <v>3</v>
      </c>
      <c r="AH905" t="n">
        <v>2</v>
      </c>
      <c r="AI905" t="n">
        <v>5</v>
      </c>
      <c r="AJ905" t="n">
        <v>5</v>
      </c>
      <c r="AK905" t="n">
        <v>11</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HYPERLINK("https://creighton-primo.hosted.exlibrisgroup.com/primo-explore/search?tab=default_tab&amp;search_scope=EVERYTHING&amp;vid=01CRU&amp;lang=en_US&amp;offset=0&amp;query=any,contains,991002996349702656","Catalog Record")</f>
        <v/>
      </c>
      <c r="AT905">
        <f>HYPERLINK("http://www.worldcat.org/oclc/564822","WorldCat Record")</f>
        <v/>
      </c>
      <c r="AU905" t="inlineStr">
        <is>
          <t>1649294:eng</t>
        </is>
      </c>
      <c r="AV905" t="inlineStr">
        <is>
          <t>564822</t>
        </is>
      </c>
      <c r="AW905" t="inlineStr">
        <is>
          <t>991002996349702656</t>
        </is>
      </c>
      <c r="AX905" t="inlineStr">
        <is>
          <t>991002996349702656</t>
        </is>
      </c>
      <c r="AY905" t="inlineStr">
        <is>
          <t>2256802380002656</t>
        </is>
      </c>
      <c r="AZ905" t="inlineStr">
        <is>
          <t>BOOK</t>
        </is>
      </c>
      <c r="BC905" t="inlineStr">
        <is>
          <t>32285001015873</t>
        </is>
      </c>
      <c r="BD905" t="inlineStr">
        <is>
          <t>893786852</t>
        </is>
      </c>
    </row>
    <row r="906">
      <c r="A906" t="inlineStr">
        <is>
          <t>No</t>
        </is>
      </c>
      <c r="B906" t="inlineStr">
        <is>
          <t>BV5082 .M414 1944</t>
        </is>
      </c>
      <c r="C906" t="inlineStr">
        <is>
          <t>0                      BV 5082000M  414         1944</t>
        </is>
      </c>
      <c r="D906" t="inlineStr">
        <is>
          <t>Un appel à l'amour : le message du coeur de Jésus au monde et sa messagère / Soeur Josefa Menéndez ; introduction du P. H. Monier-Vinard ; conclusion du P. F. Charmot.</t>
        </is>
      </c>
      <c r="F906" t="inlineStr">
        <is>
          <t>No</t>
        </is>
      </c>
      <c r="G906" t="inlineStr">
        <is>
          <t>1</t>
        </is>
      </c>
      <c r="H906" t="inlineStr">
        <is>
          <t>No</t>
        </is>
      </c>
      <c r="I906" t="inlineStr">
        <is>
          <t>No</t>
        </is>
      </c>
      <c r="J906" t="inlineStr">
        <is>
          <t>0</t>
        </is>
      </c>
      <c r="K906" t="inlineStr">
        <is>
          <t>Menéndez, Josefa, 1890-1923.</t>
        </is>
      </c>
      <c r="L906" t="inlineStr">
        <is>
          <t>Toulouse : Éditions de l'Apostolat de la Prière, 1944.</t>
        </is>
      </c>
      <c r="M906" t="inlineStr">
        <is>
          <t>1944</t>
        </is>
      </c>
      <c r="O906" t="inlineStr">
        <is>
          <t>fre</t>
        </is>
      </c>
      <c r="P906" t="inlineStr">
        <is>
          <t xml:space="preserve">fr </t>
        </is>
      </c>
      <c r="R906" t="inlineStr">
        <is>
          <t xml:space="preserve">BV </t>
        </is>
      </c>
      <c r="S906" t="n">
        <v>2</v>
      </c>
      <c r="T906" t="n">
        <v>2</v>
      </c>
      <c r="U906" t="inlineStr">
        <is>
          <t>1995-06-19</t>
        </is>
      </c>
      <c r="V906" t="inlineStr">
        <is>
          <t>1995-06-19</t>
        </is>
      </c>
      <c r="W906" t="inlineStr">
        <is>
          <t>1992-03-18</t>
        </is>
      </c>
      <c r="X906" t="inlineStr">
        <is>
          <t>1992-03-18</t>
        </is>
      </c>
      <c r="Y906" t="n">
        <v>23</v>
      </c>
      <c r="Z906" t="n">
        <v>19</v>
      </c>
      <c r="AA906" t="n">
        <v>25</v>
      </c>
      <c r="AB906" t="n">
        <v>1</v>
      </c>
      <c r="AC906" t="n">
        <v>1</v>
      </c>
      <c r="AD906" t="n">
        <v>6</v>
      </c>
      <c r="AE906" t="n">
        <v>10</v>
      </c>
      <c r="AF906" t="n">
        <v>1</v>
      </c>
      <c r="AG906" t="n">
        <v>2</v>
      </c>
      <c r="AH906" t="n">
        <v>2</v>
      </c>
      <c r="AI906" t="n">
        <v>4</v>
      </c>
      <c r="AJ906" t="n">
        <v>5</v>
      </c>
      <c r="AK906" t="n">
        <v>8</v>
      </c>
      <c r="AL906" t="n">
        <v>0</v>
      </c>
      <c r="AM906" t="n">
        <v>0</v>
      </c>
      <c r="AN906" t="n">
        <v>0</v>
      </c>
      <c r="AO906" t="n">
        <v>0</v>
      </c>
      <c r="AP906" t="inlineStr">
        <is>
          <t>No</t>
        </is>
      </c>
      <c r="AQ906" t="inlineStr">
        <is>
          <t>Yes</t>
        </is>
      </c>
      <c r="AR906">
        <f>HYPERLINK("http://catalog.hathitrust.org/Record/006638904","HathiTrust Record")</f>
        <v/>
      </c>
      <c r="AS906">
        <f>HYPERLINK("https://creighton-primo.hosted.exlibrisgroup.com/primo-explore/search?tab=default_tab&amp;search_scope=EVERYTHING&amp;vid=01CRU&amp;lang=en_US&amp;offset=0&amp;query=any,contains,991004586469702656","Catalog Record")</f>
        <v/>
      </c>
      <c r="AT906">
        <f>HYPERLINK("http://www.worldcat.org/oclc/4091715","WorldCat Record")</f>
        <v/>
      </c>
      <c r="AU906" t="inlineStr">
        <is>
          <t>4173877:fre</t>
        </is>
      </c>
      <c r="AV906" t="inlineStr">
        <is>
          <t>4091715</t>
        </is>
      </c>
      <c r="AW906" t="inlineStr">
        <is>
          <t>991004586469702656</t>
        </is>
      </c>
      <c r="AX906" t="inlineStr">
        <is>
          <t>991004586469702656</t>
        </is>
      </c>
      <c r="AY906" t="inlineStr">
        <is>
          <t>2259630280002656</t>
        </is>
      </c>
      <c r="AZ906" t="inlineStr">
        <is>
          <t>BOOK</t>
        </is>
      </c>
      <c r="BC906" t="inlineStr">
        <is>
          <t>32285001015949</t>
        </is>
      </c>
      <c r="BD906" t="inlineStr">
        <is>
          <t>893253855</t>
        </is>
      </c>
    </row>
    <row r="907">
      <c r="A907" t="inlineStr">
        <is>
          <t>No</t>
        </is>
      </c>
      <c r="B907" t="inlineStr">
        <is>
          <t>BV5082 .P4 1957</t>
        </is>
      </c>
      <c r="C907" t="inlineStr">
        <is>
          <t>0                      BV 5082000P  4           1957</t>
        </is>
      </c>
      <c r="D907" t="inlineStr">
        <is>
          <t>The three degrees : a study of Christian mysticism / Conrad Pepler.</t>
        </is>
      </c>
      <c r="F907" t="inlineStr">
        <is>
          <t>No</t>
        </is>
      </c>
      <c r="G907" t="inlineStr">
        <is>
          <t>1</t>
        </is>
      </c>
      <c r="H907" t="inlineStr">
        <is>
          <t>No</t>
        </is>
      </c>
      <c r="I907" t="inlineStr">
        <is>
          <t>No</t>
        </is>
      </c>
      <c r="J907" t="inlineStr">
        <is>
          <t>0</t>
        </is>
      </c>
      <c r="K907" t="inlineStr">
        <is>
          <t>Pepler, Conrad.</t>
        </is>
      </c>
      <c r="L907" t="inlineStr">
        <is>
          <t>St. Louis : Herder, [1957? or 8]</t>
        </is>
      </c>
      <c r="M907" t="inlineStr">
        <is>
          <t>1957</t>
        </is>
      </c>
      <c r="O907" t="inlineStr">
        <is>
          <t>eng</t>
        </is>
      </c>
      <c r="P907" t="inlineStr">
        <is>
          <t>mou</t>
        </is>
      </c>
      <c r="R907" t="inlineStr">
        <is>
          <t xml:space="preserve">BV </t>
        </is>
      </c>
      <c r="S907" t="n">
        <v>4</v>
      </c>
      <c r="T907" t="n">
        <v>4</v>
      </c>
      <c r="U907" t="inlineStr">
        <is>
          <t>2000-11-30</t>
        </is>
      </c>
      <c r="V907" t="inlineStr">
        <is>
          <t>2000-11-30</t>
        </is>
      </c>
      <c r="W907" t="inlineStr">
        <is>
          <t>1992-03-18</t>
        </is>
      </c>
      <c r="X907" t="inlineStr">
        <is>
          <t>1992-03-18</t>
        </is>
      </c>
      <c r="Y907" t="n">
        <v>116</v>
      </c>
      <c r="Z907" t="n">
        <v>106</v>
      </c>
      <c r="AA907" t="n">
        <v>126</v>
      </c>
      <c r="AB907" t="n">
        <v>2</v>
      </c>
      <c r="AC907" t="n">
        <v>2</v>
      </c>
      <c r="AD907" t="n">
        <v>15</v>
      </c>
      <c r="AE907" t="n">
        <v>16</v>
      </c>
      <c r="AF907" t="n">
        <v>5</v>
      </c>
      <c r="AG907" t="n">
        <v>5</v>
      </c>
      <c r="AH907" t="n">
        <v>4</v>
      </c>
      <c r="AI907" t="n">
        <v>4</v>
      </c>
      <c r="AJ907" t="n">
        <v>11</v>
      </c>
      <c r="AK907" t="n">
        <v>12</v>
      </c>
      <c r="AL907" t="n">
        <v>0</v>
      </c>
      <c r="AM907" t="n">
        <v>0</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HYPERLINK("https://creighton-primo.hosted.exlibrisgroup.com/primo-explore/search?tab=default_tab&amp;search_scope=EVERYTHING&amp;vid=01CRU&amp;lang=en_US&amp;offset=0&amp;query=any,contains,991003924109702656","Catalog Record")</f>
        <v/>
      </c>
      <c r="AT907">
        <f>HYPERLINK("http://www.worldcat.org/oclc/1878606","WorldCat Record")</f>
        <v/>
      </c>
      <c r="AU907" t="inlineStr">
        <is>
          <t>376456074:eng</t>
        </is>
      </c>
      <c r="AV907" t="inlineStr">
        <is>
          <t>1878606</t>
        </is>
      </c>
      <c r="AW907" t="inlineStr">
        <is>
          <t>991003924109702656</t>
        </is>
      </c>
      <c r="AX907" t="inlineStr">
        <is>
          <t>991003924109702656</t>
        </is>
      </c>
      <c r="AY907" t="inlineStr">
        <is>
          <t>2260232400002656</t>
        </is>
      </c>
      <c r="AZ907" t="inlineStr">
        <is>
          <t>BOOK</t>
        </is>
      </c>
      <c r="BC907" t="inlineStr">
        <is>
          <t>32285001015972</t>
        </is>
      </c>
      <c r="BD907" t="inlineStr">
        <is>
          <t>893423158</t>
        </is>
      </c>
    </row>
    <row r="908">
      <c r="A908" t="inlineStr">
        <is>
          <t>No</t>
        </is>
      </c>
      <c r="B908" t="inlineStr">
        <is>
          <t>BV5082 .W5 1921</t>
        </is>
      </c>
      <c r="C908" t="inlineStr">
        <is>
          <t>0                      BV 5082000W  5           1921</t>
        </is>
      </c>
      <c r="D908" t="inlineStr">
        <is>
          <t>Supernatural mysticism / by Benedict Williamson ; with an introduction by Cardinal Bourne ; and a foreword on the call to contemplation by The Lord Bishop of Plymouth.</t>
        </is>
      </c>
      <c r="F908" t="inlineStr">
        <is>
          <t>No</t>
        </is>
      </c>
      <c r="G908" t="inlineStr">
        <is>
          <t>1</t>
        </is>
      </c>
      <c r="H908" t="inlineStr">
        <is>
          <t>No</t>
        </is>
      </c>
      <c r="I908" t="inlineStr">
        <is>
          <t>No</t>
        </is>
      </c>
      <c r="J908" t="inlineStr">
        <is>
          <t>0</t>
        </is>
      </c>
      <c r="K908" t="inlineStr">
        <is>
          <t>Williamson, Benedict, 1868-1948.</t>
        </is>
      </c>
      <c r="L908" t="inlineStr">
        <is>
          <t>London : Kegan Paul, Trench, Trubner ; St. Louis : Herder, 1921.</t>
        </is>
      </c>
      <c r="M908" t="inlineStr">
        <is>
          <t>1921</t>
        </is>
      </c>
      <c r="O908" t="inlineStr">
        <is>
          <t>eng</t>
        </is>
      </c>
      <c r="P908" t="inlineStr">
        <is>
          <t>enk</t>
        </is>
      </c>
      <c r="R908" t="inlineStr">
        <is>
          <t xml:space="preserve">BV </t>
        </is>
      </c>
      <c r="S908" t="n">
        <v>2</v>
      </c>
      <c r="T908" t="n">
        <v>2</v>
      </c>
      <c r="U908" t="inlineStr">
        <is>
          <t>2001-04-18</t>
        </is>
      </c>
      <c r="V908" t="inlineStr">
        <is>
          <t>2001-04-18</t>
        </is>
      </c>
      <c r="W908" t="inlineStr">
        <is>
          <t>1992-03-18</t>
        </is>
      </c>
      <c r="X908" t="inlineStr">
        <is>
          <t>1992-03-18</t>
        </is>
      </c>
      <c r="Y908" t="n">
        <v>63</v>
      </c>
      <c r="Z908" t="n">
        <v>49</v>
      </c>
      <c r="AA908" t="n">
        <v>75</v>
      </c>
      <c r="AB908" t="n">
        <v>1</v>
      </c>
      <c r="AC908" t="n">
        <v>2</v>
      </c>
      <c r="AD908" t="n">
        <v>9</v>
      </c>
      <c r="AE908" t="n">
        <v>14</v>
      </c>
      <c r="AF908" t="n">
        <v>4</v>
      </c>
      <c r="AG908" t="n">
        <v>4</v>
      </c>
      <c r="AH908" t="n">
        <v>3</v>
      </c>
      <c r="AI908" t="n">
        <v>4</v>
      </c>
      <c r="AJ908" t="n">
        <v>7</v>
      </c>
      <c r="AK908" t="n">
        <v>10</v>
      </c>
      <c r="AL908" t="n">
        <v>0</v>
      </c>
      <c r="AM908" t="n">
        <v>1</v>
      </c>
      <c r="AN908" t="n">
        <v>0</v>
      </c>
      <c r="AO908" t="n">
        <v>0</v>
      </c>
      <c r="AP908" t="inlineStr">
        <is>
          <t>Yes</t>
        </is>
      </c>
      <c r="AQ908" t="inlineStr">
        <is>
          <t>No</t>
        </is>
      </c>
      <c r="AR908">
        <f>HYPERLINK("http://catalog.hathitrust.org/Record/008731142","HathiTrust Record")</f>
        <v/>
      </c>
      <c r="AS908">
        <f>HYPERLINK("https://creighton-primo.hosted.exlibrisgroup.com/primo-explore/search?tab=default_tab&amp;search_scope=EVERYTHING&amp;vid=01CRU&amp;lang=en_US&amp;offset=0&amp;query=any,contains,991000365149702656","Catalog Record")</f>
        <v/>
      </c>
      <c r="AT908">
        <f>HYPERLINK("http://www.worldcat.org/oclc/10399933","WorldCat Record")</f>
        <v/>
      </c>
      <c r="AU908" t="inlineStr">
        <is>
          <t>2617737:eng</t>
        </is>
      </c>
      <c r="AV908" t="inlineStr">
        <is>
          <t>10399933</t>
        </is>
      </c>
      <c r="AW908" t="inlineStr">
        <is>
          <t>991000365149702656</t>
        </is>
      </c>
      <c r="AX908" t="inlineStr">
        <is>
          <t>991000365149702656</t>
        </is>
      </c>
      <c r="AY908" t="inlineStr">
        <is>
          <t>2257760550002656</t>
        </is>
      </c>
      <c r="AZ908" t="inlineStr">
        <is>
          <t>BOOK</t>
        </is>
      </c>
      <c r="BC908" t="inlineStr">
        <is>
          <t>32285001016038</t>
        </is>
      </c>
      <c r="BD908" t="inlineStr">
        <is>
          <t>893224924</t>
        </is>
      </c>
    </row>
    <row r="909">
      <c r="A909" t="inlineStr">
        <is>
          <t>No</t>
        </is>
      </c>
      <c r="B909" t="inlineStr">
        <is>
          <t>BV5082.2 .C313 1962</t>
        </is>
      </c>
      <c r="C909" t="inlineStr">
        <is>
          <t>0                      BV 5082200C  313         1962</t>
        </is>
      </c>
      <c r="D909" t="inlineStr">
        <is>
          <t>The mystery of Christian worship : and other writings / Odo Casel. Edited by Burkhard Neunheuser; with a pref. by Charles Davis.</t>
        </is>
      </c>
      <c r="F909" t="inlineStr">
        <is>
          <t>No</t>
        </is>
      </c>
      <c r="G909" t="inlineStr">
        <is>
          <t>1</t>
        </is>
      </c>
      <c r="H909" t="inlineStr">
        <is>
          <t>No</t>
        </is>
      </c>
      <c r="I909" t="inlineStr">
        <is>
          <t>No</t>
        </is>
      </c>
      <c r="J909" t="inlineStr">
        <is>
          <t>0</t>
        </is>
      </c>
      <c r="K909" t="inlineStr">
        <is>
          <t>Casel, Odo, 1886-1948.</t>
        </is>
      </c>
      <c r="L909" t="inlineStr">
        <is>
          <t>Westminster, Md. : Newman Press, [1962]</t>
        </is>
      </c>
      <c r="M909" t="inlineStr">
        <is>
          <t>1962</t>
        </is>
      </c>
      <c r="O909" t="inlineStr">
        <is>
          <t>eng</t>
        </is>
      </c>
      <c r="P909" t="inlineStr">
        <is>
          <t>mdu</t>
        </is>
      </c>
      <c r="R909" t="inlineStr">
        <is>
          <t xml:space="preserve">BV </t>
        </is>
      </c>
      <c r="S909" t="n">
        <v>1</v>
      </c>
      <c r="T909" t="n">
        <v>1</v>
      </c>
      <c r="U909" t="inlineStr">
        <is>
          <t>2008-03-10</t>
        </is>
      </c>
      <c r="V909" t="inlineStr">
        <is>
          <t>2008-03-10</t>
        </is>
      </c>
      <c r="W909" t="inlineStr">
        <is>
          <t>1992-03-18</t>
        </is>
      </c>
      <c r="X909" t="inlineStr">
        <is>
          <t>1992-03-18</t>
        </is>
      </c>
      <c r="Y909" t="n">
        <v>286</v>
      </c>
      <c r="Z909" t="n">
        <v>224</v>
      </c>
      <c r="AA909" t="n">
        <v>282</v>
      </c>
      <c r="AB909" t="n">
        <v>2</v>
      </c>
      <c r="AC909" t="n">
        <v>2</v>
      </c>
      <c r="AD909" t="n">
        <v>30</v>
      </c>
      <c r="AE909" t="n">
        <v>31</v>
      </c>
      <c r="AF909" t="n">
        <v>12</v>
      </c>
      <c r="AG909" t="n">
        <v>13</v>
      </c>
      <c r="AH909" t="n">
        <v>8</v>
      </c>
      <c r="AI909" t="n">
        <v>8</v>
      </c>
      <c r="AJ909" t="n">
        <v>22</v>
      </c>
      <c r="AK909" t="n">
        <v>22</v>
      </c>
      <c r="AL909" t="n">
        <v>0</v>
      </c>
      <c r="AM909" t="n">
        <v>0</v>
      </c>
      <c r="AN909" t="n">
        <v>0</v>
      </c>
      <c r="AO909" t="n">
        <v>0</v>
      </c>
      <c r="AP909" t="inlineStr">
        <is>
          <t>No</t>
        </is>
      </c>
      <c r="AQ909" t="inlineStr">
        <is>
          <t>Yes</t>
        </is>
      </c>
      <c r="AR909">
        <f>HYPERLINK("http://catalog.hathitrust.org/Record/102580658","HathiTrust Record")</f>
        <v/>
      </c>
      <c r="AS909">
        <f>HYPERLINK("https://creighton-primo.hosted.exlibrisgroup.com/primo-explore/search?tab=default_tab&amp;search_scope=EVERYTHING&amp;vid=01CRU&amp;lang=en_US&amp;offset=0&amp;query=any,contains,991001208109702656","Catalog Record")</f>
        <v/>
      </c>
      <c r="AT909">
        <f>HYPERLINK("http://www.worldcat.org/oclc/192621","WorldCat Record")</f>
        <v/>
      </c>
      <c r="AU909" t="inlineStr">
        <is>
          <t>5090755866:eng</t>
        </is>
      </c>
      <c r="AV909" t="inlineStr">
        <is>
          <t>192621</t>
        </is>
      </c>
      <c r="AW909" t="inlineStr">
        <is>
          <t>991001208109702656</t>
        </is>
      </c>
      <c r="AX909" t="inlineStr">
        <is>
          <t>991001208109702656</t>
        </is>
      </c>
      <c r="AY909" t="inlineStr">
        <is>
          <t>2256356480002656</t>
        </is>
      </c>
      <c r="AZ909" t="inlineStr">
        <is>
          <t>BOOK</t>
        </is>
      </c>
      <c r="BC909" t="inlineStr">
        <is>
          <t>32285001016061</t>
        </is>
      </c>
      <c r="BD909" t="inlineStr">
        <is>
          <t>893496909</t>
        </is>
      </c>
    </row>
    <row r="910">
      <c r="A910" t="inlineStr">
        <is>
          <t>No</t>
        </is>
      </c>
      <c r="B910" t="inlineStr">
        <is>
          <t>BV5082.2 .G73 1997</t>
        </is>
      </c>
      <c r="C910" t="inlineStr">
        <is>
          <t>0                      BV 5082200G  73          1997</t>
        </is>
      </c>
      <c r="D910" t="inlineStr">
        <is>
          <t>Prophecy and mysticism : the heart of the postmodern church / Mary C. Grey.</t>
        </is>
      </c>
      <c r="F910" t="inlineStr">
        <is>
          <t>No</t>
        </is>
      </c>
      <c r="G910" t="inlineStr">
        <is>
          <t>1</t>
        </is>
      </c>
      <c r="H910" t="inlineStr">
        <is>
          <t>No</t>
        </is>
      </c>
      <c r="I910" t="inlineStr">
        <is>
          <t>No</t>
        </is>
      </c>
      <c r="J910" t="inlineStr">
        <is>
          <t>0</t>
        </is>
      </c>
      <c r="K910" t="inlineStr">
        <is>
          <t>Grey, Mary C.</t>
        </is>
      </c>
      <c r="L910" t="inlineStr">
        <is>
          <t>Edinburgh : T&amp;T Clark, 1997.</t>
        </is>
      </c>
      <c r="M910" t="inlineStr">
        <is>
          <t>1997</t>
        </is>
      </c>
      <c r="O910" t="inlineStr">
        <is>
          <t>eng</t>
        </is>
      </c>
      <c r="P910" t="inlineStr">
        <is>
          <t>stk</t>
        </is>
      </c>
      <c r="Q910" t="inlineStr">
        <is>
          <t>Scottish journal of theology. Current issues in theology</t>
        </is>
      </c>
      <c r="R910" t="inlineStr">
        <is>
          <t xml:space="preserve">BV </t>
        </is>
      </c>
      <c r="S910" t="n">
        <v>4</v>
      </c>
      <c r="T910" t="n">
        <v>4</v>
      </c>
      <c r="U910" t="inlineStr">
        <is>
          <t>2006-03-25</t>
        </is>
      </c>
      <c r="V910" t="inlineStr">
        <is>
          <t>2006-03-25</t>
        </is>
      </c>
      <c r="W910" t="inlineStr">
        <is>
          <t>1998-07-30</t>
        </is>
      </c>
      <c r="X910" t="inlineStr">
        <is>
          <t>1998-07-30</t>
        </is>
      </c>
      <c r="Y910" t="n">
        <v>174</v>
      </c>
      <c r="Z910" t="n">
        <v>124</v>
      </c>
      <c r="AA910" t="n">
        <v>124</v>
      </c>
      <c r="AB910" t="n">
        <v>1</v>
      </c>
      <c r="AC910" t="n">
        <v>1</v>
      </c>
      <c r="AD910" t="n">
        <v>14</v>
      </c>
      <c r="AE910" t="n">
        <v>14</v>
      </c>
      <c r="AF910" t="n">
        <v>3</v>
      </c>
      <c r="AG910" t="n">
        <v>3</v>
      </c>
      <c r="AH910" t="n">
        <v>6</v>
      </c>
      <c r="AI910" t="n">
        <v>6</v>
      </c>
      <c r="AJ910" t="n">
        <v>8</v>
      </c>
      <c r="AK910" t="n">
        <v>8</v>
      </c>
      <c r="AL910" t="n">
        <v>0</v>
      </c>
      <c r="AM910" t="n">
        <v>0</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HYPERLINK("https://creighton-primo.hosted.exlibrisgroup.com/primo-explore/search?tab=default_tab&amp;search_scope=EVERYTHING&amp;vid=01CRU&amp;lang=en_US&amp;offset=0&amp;query=any,contains,991002905429702656","Catalog Record")</f>
        <v/>
      </c>
      <c r="AT910">
        <f>HYPERLINK("http://www.worldcat.org/oclc/38332422","WorldCat Record")</f>
        <v/>
      </c>
      <c r="AU910" t="inlineStr">
        <is>
          <t>837046536:eng</t>
        </is>
      </c>
      <c r="AV910" t="inlineStr">
        <is>
          <t>38332422</t>
        </is>
      </c>
      <c r="AW910" t="inlineStr">
        <is>
          <t>991002905429702656</t>
        </is>
      </c>
      <c r="AX910" t="inlineStr">
        <is>
          <t>991002905429702656</t>
        </is>
      </c>
      <c r="AY910" t="inlineStr">
        <is>
          <t>2271778950002656</t>
        </is>
      </c>
      <c r="AZ910" t="inlineStr">
        <is>
          <t>BOOK</t>
        </is>
      </c>
      <c r="BB910" t="inlineStr">
        <is>
          <t>9780567085870</t>
        </is>
      </c>
      <c r="BC910" t="inlineStr">
        <is>
          <t>32285003447892</t>
        </is>
      </c>
      <c r="BD910" t="inlineStr">
        <is>
          <t>893874162</t>
        </is>
      </c>
    </row>
    <row r="911">
      <c r="A911" t="inlineStr">
        <is>
          <t>No</t>
        </is>
      </c>
      <c r="B911" t="inlineStr">
        <is>
          <t>BV5082.2 .G74 1991</t>
        </is>
      </c>
      <c r="C911" t="inlineStr">
        <is>
          <t>0                      BV 5082200G  74          1991</t>
        </is>
      </c>
      <c r="D911" t="inlineStr">
        <is>
          <t>Heightened consciousness : the mystical difference / by David Granfield.</t>
        </is>
      </c>
      <c r="F911" t="inlineStr">
        <is>
          <t>No</t>
        </is>
      </c>
      <c r="G911" t="inlineStr">
        <is>
          <t>1</t>
        </is>
      </c>
      <c r="H911" t="inlineStr">
        <is>
          <t>No</t>
        </is>
      </c>
      <c r="I911" t="inlineStr">
        <is>
          <t>No</t>
        </is>
      </c>
      <c r="J911" t="inlineStr">
        <is>
          <t>0</t>
        </is>
      </c>
      <c r="K911" t="inlineStr">
        <is>
          <t>Granfield, David.</t>
        </is>
      </c>
      <c r="L911" t="inlineStr">
        <is>
          <t>New York : Paulist Press, c1991.</t>
        </is>
      </c>
      <c r="M911" t="inlineStr">
        <is>
          <t>1991</t>
        </is>
      </c>
      <c r="O911" t="inlineStr">
        <is>
          <t>eng</t>
        </is>
      </c>
      <c r="P911" t="inlineStr">
        <is>
          <t>nyu</t>
        </is>
      </c>
      <c r="R911" t="inlineStr">
        <is>
          <t xml:space="preserve">BV </t>
        </is>
      </c>
      <c r="S911" t="n">
        <v>7</v>
      </c>
      <c r="T911" t="n">
        <v>7</v>
      </c>
      <c r="U911" t="inlineStr">
        <is>
          <t>1996-03-25</t>
        </is>
      </c>
      <c r="V911" t="inlineStr">
        <is>
          <t>1996-03-25</t>
        </is>
      </c>
      <c r="W911" t="inlineStr">
        <is>
          <t>1992-04-30</t>
        </is>
      </c>
      <c r="X911" t="inlineStr">
        <is>
          <t>1992-04-30</t>
        </is>
      </c>
      <c r="Y911" t="n">
        <v>172</v>
      </c>
      <c r="Z911" t="n">
        <v>145</v>
      </c>
      <c r="AA911" t="n">
        <v>145</v>
      </c>
      <c r="AB911" t="n">
        <v>1</v>
      </c>
      <c r="AC911" t="n">
        <v>1</v>
      </c>
      <c r="AD911" t="n">
        <v>11</v>
      </c>
      <c r="AE911" t="n">
        <v>11</v>
      </c>
      <c r="AF911" t="n">
        <v>0</v>
      </c>
      <c r="AG911" t="n">
        <v>0</v>
      </c>
      <c r="AH911" t="n">
        <v>2</v>
      </c>
      <c r="AI911" t="n">
        <v>2</v>
      </c>
      <c r="AJ911" t="n">
        <v>9</v>
      </c>
      <c r="AK911" t="n">
        <v>9</v>
      </c>
      <c r="AL911" t="n">
        <v>0</v>
      </c>
      <c r="AM911" t="n">
        <v>0</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HYPERLINK("https://creighton-primo.hosted.exlibrisgroup.com/primo-explore/search?tab=default_tab&amp;search_scope=EVERYTHING&amp;vid=01CRU&amp;lang=en_US&amp;offset=0&amp;query=any,contains,991001820109702656","Catalog Record")</f>
        <v/>
      </c>
      <c r="AT911">
        <f>HYPERLINK("http://www.worldcat.org/oclc/22887966","WorldCat Record")</f>
        <v/>
      </c>
      <c r="AU911" t="inlineStr">
        <is>
          <t>9542543475:eng</t>
        </is>
      </c>
      <c r="AV911" t="inlineStr">
        <is>
          <t>22887966</t>
        </is>
      </c>
      <c r="AW911" t="inlineStr">
        <is>
          <t>991001820109702656</t>
        </is>
      </c>
      <c r="AX911" t="inlineStr">
        <is>
          <t>991001820109702656</t>
        </is>
      </c>
      <c r="AY911" t="inlineStr">
        <is>
          <t>2268712560002656</t>
        </is>
      </c>
      <c r="AZ911" t="inlineStr">
        <is>
          <t>BOOK</t>
        </is>
      </c>
      <c r="BB911" t="inlineStr">
        <is>
          <t>9780809131747</t>
        </is>
      </c>
      <c r="BC911" t="inlineStr">
        <is>
          <t>32285001037596</t>
        </is>
      </c>
      <c r="BD911" t="inlineStr">
        <is>
          <t>893779106</t>
        </is>
      </c>
    </row>
    <row r="912">
      <c r="A912" t="inlineStr">
        <is>
          <t>No</t>
        </is>
      </c>
      <c r="B912" t="inlineStr">
        <is>
          <t>BV5082.2 .N65 1975</t>
        </is>
      </c>
      <c r="C912" t="inlineStr">
        <is>
          <t>0                      BV 5082200N  65          1975</t>
        </is>
      </c>
      <c r="D912" t="inlineStr">
        <is>
          <t>What a modern Catholic believes about mysticism / by Robert Nowell.</t>
        </is>
      </c>
      <c r="F912" t="inlineStr">
        <is>
          <t>No</t>
        </is>
      </c>
      <c r="G912" t="inlineStr">
        <is>
          <t>1</t>
        </is>
      </c>
      <c r="H912" t="inlineStr">
        <is>
          <t>No</t>
        </is>
      </c>
      <c r="I912" t="inlineStr">
        <is>
          <t>No</t>
        </is>
      </c>
      <c r="J912" t="inlineStr">
        <is>
          <t>0</t>
        </is>
      </c>
      <c r="K912" t="inlineStr">
        <is>
          <t>Nowell, Robert.</t>
        </is>
      </c>
      <c r="L912" t="inlineStr">
        <is>
          <t>Chicago, Ill. : Thomas More, [c1975]</t>
        </is>
      </c>
      <c r="M912" t="inlineStr">
        <is>
          <t>1975</t>
        </is>
      </c>
      <c r="O912" t="inlineStr">
        <is>
          <t>eng</t>
        </is>
      </c>
      <c r="P912" t="inlineStr">
        <is>
          <t xml:space="preserve">xx </t>
        </is>
      </c>
      <c r="R912" t="inlineStr">
        <is>
          <t xml:space="preserve">BV </t>
        </is>
      </c>
      <c r="S912" t="n">
        <v>4</v>
      </c>
      <c r="T912" t="n">
        <v>4</v>
      </c>
      <c r="U912" t="inlineStr">
        <is>
          <t>2001-08-01</t>
        </is>
      </c>
      <c r="V912" t="inlineStr">
        <is>
          <t>2001-08-01</t>
        </is>
      </c>
      <c r="W912" t="inlineStr">
        <is>
          <t>1991-07-11</t>
        </is>
      </c>
      <c r="X912" t="inlineStr">
        <is>
          <t>1991-07-11</t>
        </is>
      </c>
      <c r="Y912" t="n">
        <v>101</v>
      </c>
      <c r="Z912" t="n">
        <v>86</v>
      </c>
      <c r="AA912" t="n">
        <v>86</v>
      </c>
      <c r="AB912" t="n">
        <v>3</v>
      </c>
      <c r="AC912" t="n">
        <v>3</v>
      </c>
      <c r="AD912" t="n">
        <v>13</v>
      </c>
      <c r="AE912" t="n">
        <v>13</v>
      </c>
      <c r="AF912" t="n">
        <v>3</v>
      </c>
      <c r="AG912" t="n">
        <v>3</v>
      </c>
      <c r="AH912" t="n">
        <v>3</v>
      </c>
      <c r="AI912" t="n">
        <v>3</v>
      </c>
      <c r="AJ912" t="n">
        <v>10</v>
      </c>
      <c r="AK912" t="n">
        <v>10</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HYPERLINK("https://creighton-primo.hosted.exlibrisgroup.com/primo-explore/search?tab=default_tab&amp;search_scope=EVERYTHING&amp;vid=01CRU&amp;lang=en_US&amp;offset=0&amp;query=any,contains,991003908779702656","Catalog Record")</f>
        <v/>
      </c>
      <c r="AT912">
        <f>HYPERLINK("http://www.worldcat.org/oclc/1847982","WorldCat Record")</f>
        <v/>
      </c>
      <c r="AU912" t="inlineStr">
        <is>
          <t>9542533768:eng</t>
        </is>
      </c>
      <c r="AV912" t="inlineStr">
        <is>
          <t>1847982</t>
        </is>
      </c>
      <c r="AW912" t="inlineStr">
        <is>
          <t>991003908779702656</t>
        </is>
      </c>
      <c r="AX912" t="inlineStr">
        <is>
          <t>991003908779702656</t>
        </is>
      </c>
      <c r="AY912" t="inlineStr">
        <is>
          <t>2261410550002656</t>
        </is>
      </c>
      <c r="AZ912" t="inlineStr">
        <is>
          <t>BOOK</t>
        </is>
      </c>
      <c r="BC912" t="inlineStr">
        <is>
          <t>32285000637008</t>
        </is>
      </c>
      <c r="BD912" t="inlineStr">
        <is>
          <t>893435648</t>
        </is>
      </c>
    </row>
    <row r="913">
      <c r="A913" t="inlineStr">
        <is>
          <t>No</t>
        </is>
      </c>
      <c r="B913" t="inlineStr">
        <is>
          <t>BV5082.2 .O25 1964</t>
        </is>
      </c>
      <c r="C913" t="inlineStr">
        <is>
          <t>0                      BV 5082200O  25          1964</t>
        </is>
      </c>
      <c r="D913" t="inlineStr">
        <is>
          <t>Varieties of mystic experience : an anthology and interpretation / Elmer O'Brien.</t>
        </is>
      </c>
      <c r="F913" t="inlineStr">
        <is>
          <t>No</t>
        </is>
      </c>
      <c r="G913" t="inlineStr">
        <is>
          <t>1</t>
        </is>
      </c>
      <c r="H913" t="inlineStr">
        <is>
          <t>No</t>
        </is>
      </c>
      <c r="I913" t="inlineStr">
        <is>
          <t>No</t>
        </is>
      </c>
      <c r="J913" t="inlineStr">
        <is>
          <t>0</t>
        </is>
      </c>
      <c r="K913" t="inlineStr">
        <is>
          <t>O'Brien, Elmer J.</t>
        </is>
      </c>
      <c r="L913" t="inlineStr">
        <is>
          <t>New York : Holt, Rinehart and Winston, [1964]</t>
        </is>
      </c>
      <c r="M913" t="inlineStr">
        <is>
          <t>1964</t>
        </is>
      </c>
      <c r="N913" t="inlineStr">
        <is>
          <t>[1st ed.]</t>
        </is>
      </c>
      <c r="O913" t="inlineStr">
        <is>
          <t>eng</t>
        </is>
      </c>
      <c r="P913" t="inlineStr">
        <is>
          <t>nyu</t>
        </is>
      </c>
      <c r="R913" t="inlineStr">
        <is>
          <t xml:space="preserve">BV </t>
        </is>
      </c>
      <c r="S913" t="n">
        <v>8</v>
      </c>
      <c r="T913" t="n">
        <v>8</v>
      </c>
      <c r="U913" t="inlineStr">
        <is>
          <t>2001-10-23</t>
        </is>
      </c>
      <c r="V913" t="inlineStr">
        <is>
          <t>2001-10-23</t>
        </is>
      </c>
      <c r="W913" t="inlineStr">
        <is>
          <t>1992-03-18</t>
        </is>
      </c>
      <c r="X913" t="inlineStr">
        <is>
          <t>1992-03-18</t>
        </is>
      </c>
      <c r="Y913" t="n">
        <v>573</v>
      </c>
      <c r="Z913" t="n">
        <v>517</v>
      </c>
      <c r="AA913" t="n">
        <v>602</v>
      </c>
      <c r="AB913" t="n">
        <v>4</v>
      </c>
      <c r="AC913" t="n">
        <v>4</v>
      </c>
      <c r="AD913" t="n">
        <v>35</v>
      </c>
      <c r="AE913" t="n">
        <v>37</v>
      </c>
      <c r="AF913" t="n">
        <v>14</v>
      </c>
      <c r="AG913" t="n">
        <v>14</v>
      </c>
      <c r="AH913" t="n">
        <v>8</v>
      </c>
      <c r="AI913" t="n">
        <v>8</v>
      </c>
      <c r="AJ913" t="n">
        <v>22</v>
      </c>
      <c r="AK913" t="n">
        <v>24</v>
      </c>
      <c r="AL913" t="n">
        <v>2</v>
      </c>
      <c r="AM913" t="n">
        <v>2</v>
      </c>
      <c r="AN913" t="n">
        <v>0</v>
      </c>
      <c r="AO913" t="n">
        <v>0</v>
      </c>
      <c r="AP913" t="inlineStr">
        <is>
          <t>No</t>
        </is>
      </c>
      <c r="AQ913" t="inlineStr">
        <is>
          <t>Yes</t>
        </is>
      </c>
      <c r="AR913">
        <f>HYPERLINK("http://catalog.hathitrust.org/Record/001415091","HathiTrust Record")</f>
        <v/>
      </c>
      <c r="AS913">
        <f>HYPERLINK("https://creighton-primo.hosted.exlibrisgroup.com/primo-explore/search?tab=default_tab&amp;search_scope=EVERYTHING&amp;vid=01CRU&amp;lang=en_US&amp;offset=0&amp;query=any,contains,991002640819702656","Catalog Record")</f>
        <v/>
      </c>
      <c r="AT913">
        <f>HYPERLINK("http://www.worldcat.org/oclc/384292","WorldCat Record")</f>
        <v/>
      </c>
      <c r="AU913" t="inlineStr">
        <is>
          <t>1503422:eng</t>
        </is>
      </c>
      <c r="AV913" t="inlineStr">
        <is>
          <t>384292</t>
        </is>
      </c>
      <c r="AW913" t="inlineStr">
        <is>
          <t>991002640819702656</t>
        </is>
      </c>
      <c r="AX913" t="inlineStr">
        <is>
          <t>991002640819702656</t>
        </is>
      </c>
      <c r="AY913" t="inlineStr">
        <is>
          <t>2256316920002656</t>
        </is>
      </c>
      <c r="AZ913" t="inlineStr">
        <is>
          <t>BOOK</t>
        </is>
      </c>
      <c r="BC913" t="inlineStr">
        <is>
          <t>32285001016145</t>
        </is>
      </c>
      <c r="BD913" t="inlineStr">
        <is>
          <t>893257527</t>
        </is>
      </c>
    </row>
    <row r="914">
      <c r="A914" t="inlineStr">
        <is>
          <t>No</t>
        </is>
      </c>
      <c r="B914" t="inlineStr">
        <is>
          <t>BV5082.2 .S64</t>
        </is>
      </c>
      <c r="C914" t="inlineStr">
        <is>
          <t>0                      BV 5082200S  64</t>
        </is>
      </c>
      <c r="D914" t="inlineStr">
        <is>
          <t>Love beyond pain : mysticism within Christianity / by Frederick Sontag.</t>
        </is>
      </c>
      <c r="F914" t="inlineStr">
        <is>
          <t>No</t>
        </is>
      </c>
      <c r="G914" t="inlineStr">
        <is>
          <t>1</t>
        </is>
      </c>
      <c r="H914" t="inlineStr">
        <is>
          <t>No</t>
        </is>
      </c>
      <c r="I914" t="inlineStr">
        <is>
          <t>No</t>
        </is>
      </c>
      <c r="J914" t="inlineStr">
        <is>
          <t>0</t>
        </is>
      </c>
      <c r="K914" t="inlineStr">
        <is>
          <t>Sontag, Frederick.</t>
        </is>
      </c>
      <c r="L914" t="inlineStr">
        <is>
          <t>New York : Paulist Press, c1977.</t>
        </is>
      </c>
      <c r="M914" t="inlineStr">
        <is>
          <t>1977</t>
        </is>
      </c>
      <c r="O914" t="inlineStr">
        <is>
          <t>eng</t>
        </is>
      </c>
      <c r="P914" t="inlineStr">
        <is>
          <t>nyu</t>
        </is>
      </c>
      <c r="R914" t="inlineStr">
        <is>
          <t xml:space="preserve">BV </t>
        </is>
      </c>
      <c r="S914" t="n">
        <v>7</v>
      </c>
      <c r="T914" t="n">
        <v>7</v>
      </c>
      <c r="U914" t="inlineStr">
        <is>
          <t>1996-09-23</t>
        </is>
      </c>
      <c r="V914" t="inlineStr">
        <is>
          <t>1996-09-23</t>
        </is>
      </c>
      <c r="W914" t="inlineStr">
        <is>
          <t>1992-03-18</t>
        </is>
      </c>
      <c r="X914" t="inlineStr">
        <is>
          <t>1992-03-18</t>
        </is>
      </c>
      <c r="Y914" t="n">
        <v>251</v>
      </c>
      <c r="Z914" t="n">
        <v>218</v>
      </c>
      <c r="AA914" t="n">
        <v>224</v>
      </c>
      <c r="AB914" t="n">
        <v>3</v>
      </c>
      <c r="AC914" t="n">
        <v>3</v>
      </c>
      <c r="AD914" t="n">
        <v>19</v>
      </c>
      <c r="AE914" t="n">
        <v>19</v>
      </c>
      <c r="AF914" t="n">
        <v>4</v>
      </c>
      <c r="AG914" t="n">
        <v>4</v>
      </c>
      <c r="AH914" t="n">
        <v>4</v>
      </c>
      <c r="AI914" t="n">
        <v>4</v>
      </c>
      <c r="AJ914" t="n">
        <v>13</v>
      </c>
      <c r="AK914" t="n">
        <v>13</v>
      </c>
      <c r="AL914" t="n">
        <v>2</v>
      </c>
      <c r="AM914" t="n">
        <v>2</v>
      </c>
      <c r="AN914" t="n">
        <v>0</v>
      </c>
      <c r="AO914" t="n">
        <v>0</v>
      </c>
      <c r="AP914" t="inlineStr">
        <is>
          <t>No</t>
        </is>
      </c>
      <c r="AQ914" t="inlineStr">
        <is>
          <t>Yes</t>
        </is>
      </c>
      <c r="AR914">
        <f>HYPERLINK("http://catalog.hathitrust.org/Record/007114022","HathiTrust Record")</f>
        <v/>
      </c>
      <c r="AS914">
        <f>HYPERLINK("https://creighton-primo.hosted.exlibrisgroup.com/primo-explore/search?tab=default_tab&amp;search_scope=EVERYTHING&amp;vid=01CRU&amp;lang=en_US&amp;offset=0&amp;query=any,contains,991004238409702656","Catalog Record")</f>
        <v/>
      </c>
      <c r="AT914">
        <f>HYPERLINK("http://www.worldcat.org/oclc/2778267","WorldCat Record")</f>
        <v/>
      </c>
      <c r="AU914" t="inlineStr">
        <is>
          <t>367031762:eng</t>
        </is>
      </c>
      <c r="AV914" t="inlineStr">
        <is>
          <t>2778267</t>
        </is>
      </c>
      <c r="AW914" t="inlineStr">
        <is>
          <t>991004238409702656</t>
        </is>
      </c>
      <c r="AX914" t="inlineStr">
        <is>
          <t>991004238409702656</t>
        </is>
      </c>
      <c r="AY914" t="inlineStr">
        <is>
          <t>2272140360002656</t>
        </is>
      </c>
      <c r="AZ914" t="inlineStr">
        <is>
          <t>BOOK</t>
        </is>
      </c>
      <c r="BB914" t="inlineStr">
        <is>
          <t>9780809119981</t>
        </is>
      </c>
      <c r="BC914" t="inlineStr">
        <is>
          <t>32285001016178</t>
        </is>
      </c>
      <c r="BD914" t="inlineStr">
        <is>
          <t>893612114</t>
        </is>
      </c>
    </row>
    <row r="915">
      <c r="A915" t="inlineStr">
        <is>
          <t>No</t>
        </is>
      </c>
      <c r="B915" t="inlineStr">
        <is>
          <t>BV5082.2 .Y86</t>
        </is>
      </c>
      <c r="C915" t="inlineStr">
        <is>
          <t>0                      BV 5082200Y  86</t>
        </is>
      </c>
      <c r="D915" t="inlineStr">
        <is>
          <t>Discovering God within / John R. Yungblut.</t>
        </is>
      </c>
      <c r="F915" t="inlineStr">
        <is>
          <t>No</t>
        </is>
      </c>
      <c r="G915" t="inlineStr">
        <is>
          <t>1</t>
        </is>
      </c>
      <c r="H915" t="inlineStr">
        <is>
          <t>No</t>
        </is>
      </c>
      <c r="I915" t="inlineStr">
        <is>
          <t>No</t>
        </is>
      </c>
      <c r="J915" t="inlineStr">
        <is>
          <t>0</t>
        </is>
      </c>
      <c r="K915" t="inlineStr">
        <is>
          <t>Yungblut, John R.</t>
        </is>
      </c>
      <c r="L915" t="inlineStr">
        <is>
          <t>Philadelphia : Westminster Press, c1979.</t>
        </is>
      </c>
      <c r="M915" t="inlineStr">
        <is>
          <t>1979</t>
        </is>
      </c>
      <c r="N915" t="inlineStr">
        <is>
          <t>1st ed.</t>
        </is>
      </c>
      <c r="O915" t="inlineStr">
        <is>
          <t>eng</t>
        </is>
      </c>
      <c r="P915" t="inlineStr">
        <is>
          <t>pau</t>
        </is>
      </c>
      <c r="R915" t="inlineStr">
        <is>
          <t xml:space="preserve">BV </t>
        </is>
      </c>
      <c r="S915" t="n">
        <v>2</v>
      </c>
      <c r="T915" t="n">
        <v>2</v>
      </c>
      <c r="U915" t="inlineStr">
        <is>
          <t>1996-09-21</t>
        </is>
      </c>
      <c r="V915" t="inlineStr">
        <is>
          <t>1996-09-21</t>
        </is>
      </c>
      <c r="W915" t="inlineStr">
        <is>
          <t>1992-03-18</t>
        </is>
      </c>
      <c r="X915" t="inlineStr">
        <is>
          <t>1992-03-18</t>
        </is>
      </c>
      <c r="Y915" t="n">
        <v>381</v>
      </c>
      <c r="Z915" t="n">
        <v>361</v>
      </c>
      <c r="AA915" t="n">
        <v>378</v>
      </c>
      <c r="AB915" t="n">
        <v>2</v>
      </c>
      <c r="AC915" t="n">
        <v>2</v>
      </c>
      <c r="AD915" t="n">
        <v>24</v>
      </c>
      <c r="AE915" t="n">
        <v>24</v>
      </c>
      <c r="AF915" t="n">
        <v>12</v>
      </c>
      <c r="AG915" t="n">
        <v>12</v>
      </c>
      <c r="AH915" t="n">
        <v>5</v>
      </c>
      <c r="AI915" t="n">
        <v>5</v>
      </c>
      <c r="AJ915" t="n">
        <v>15</v>
      </c>
      <c r="AK915" t="n">
        <v>15</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HYPERLINK("https://creighton-primo.hosted.exlibrisgroup.com/primo-explore/search?tab=default_tab&amp;search_scope=EVERYTHING&amp;vid=01CRU&amp;lang=en_US&amp;offset=0&amp;query=any,contains,991004650239702656","Catalog Record")</f>
        <v/>
      </c>
      <c r="AT915">
        <f>HYPERLINK("http://www.worldcat.org/oclc/4493651","WorldCat Record")</f>
        <v/>
      </c>
      <c r="AU915" t="inlineStr">
        <is>
          <t>14765634:eng</t>
        </is>
      </c>
      <c r="AV915" t="inlineStr">
        <is>
          <t>4493651</t>
        </is>
      </c>
      <c r="AW915" t="inlineStr">
        <is>
          <t>991004650239702656</t>
        </is>
      </c>
      <c r="AX915" t="inlineStr">
        <is>
          <t>991004650239702656</t>
        </is>
      </c>
      <c r="AY915" t="inlineStr">
        <is>
          <t>2260907490002656</t>
        </is>
      </c>
      <c r="AZ915" t="inlineStr">
        <is>
          <t>BOOK</t>
        </is>
      </c>
      <c r="BB915" t="inlineStr">
        <is>
          <t>9780664242312</t>
        </is>
      </c>
      <c r="BC915" t="inlineStr">
        <is>
          <t>32285001016186</t>
        </is>
      </c>
      <c r="BD915" t="inlineStr">
        <is>
          <t>893344089</t>
        </is>
      </c>
    </row>
    <row r="916">
      <c r="A916" t="inlineStr">
        <is>
          <t>No</t>
        </is>
      </c>
      <c r="B916" t="inlineStr">
        <is>
          <t>BV5082.3 .S7613 2001</t>
        </is>
      </c>
      <c r="C916" t="inlineStr">
        <is>
          <t>0                      BV 5082300S  7613        2001</t>
        </is>
      </c>
      <c r="D916" t="inlineStr">
        <is>
          <t>The doctrine of spiritual perfection / Anselm Stolz ; translated by Aidan Williams ; introduction by Stephen Fields.</t>
        </is>
      </c>
      <c r="F916" t="inlineStr">
        <is>
          <t>No</t>
        </is>
      </c>
      <c r="G916" t="inlineStr">
        <is>
          <t>1</t>
        </is>
      </c>
      <c r="H916" t="inlineStr">
        <is>
          <t>No</t>
        </is>
      </c>
      <c r="I916" t="inlineStr">
        <is>
          <t>No</t>
        </is>
      </c>
      <c r="J916" t="inlineStr">
        <is>
          <t>0</t>
        </is>
      </c>
      <c r="K916" t="inlineStr">
        <is>
          <t>Stolz, Anselm, 1900-1942.</t>
        </is>
      </c>
      <c r="L916" t="inlineStr">
        <is>
          <t>New York : Crossroad Pub. Co., c2001.</t>
        </is>
      </c>
      <c r="M916" t="inlineStr">
        <is>
          <t>2001</t>
        </is>
      </c>
      <c r="O916" t="inlineStr">
        <is>
          <t>eng</t>
        </is>
      </c>
      <c r="P916" t="inlineStr">
        <is>
          <t>nyu</t>
        </is>
      </c>
      <c r="Q916" t="inlineStr">
        <is>
          <t>Milestones in the study of mysticism and spirituality</t>
        </is>
      </c>
      <c r="R916" t="inlineStr">
        <is>
          <t xml:space="preserve">BV </t>
        </is>
      </c>
      <c r="S916" t="n">
        <v>1</v>
      </c>
      <c r="T916" t="n">
        <v>1</v>
      </c>
      <c r="U916" t="inlineStr">
        <is>
          <t>2006-10-23</t>
        </is>
      </c>
      <c r="V916" t="inlineStr">
        <is>
          <t>2006-10-23</t>
        </is>
      </c>
      <c r="W916" t="inlineStr">
        <is>
          <t>2006-10-23</t>
        </is>
      </c>
      <c r="X916" t="inlineStr">
        <is>
          <t>2006-10-23</t>
        </is>
      </c>
      <c r="Y916" t="n">
        <v>88</v>
      </c>
      <c r="Z916" t="n">
        <v>73</v>
      </c>
      <c r="AA916" t="n">
        <v>81</v>
      </c>
      <c r="AB916" t="n">
        <v>1</v>
      </c>
      <c r="AC916" t="n">
        <v>1</v>
      </c>
      <c r="AD916" t="n">
        <v>4</v>
      </c>
      <c r="AE916" t="n">
        <v>4</v>
      </c>
      <c r="AF916" t="n">
        <v>1</v>
      </c>
      <c r="AG916" t="n">
        <v>1</v>
      </c>
      <c r="AH916" t="n">
        <v>1</v>
      </c>
      <c r="AI916" t="n">
        <v>1</v>
      </c>
      <c r="AJ916" t="n">
        <v>2</v>
      </c>
      <c r="AK916" t="n">
        <v>2</v>
      </c>
      <c r="AL916" t="n">
        <v>0</v>
      </c>
      <c r="AM916" t="n">
        <v>0</v>
      </c>
      <c r="AN916" t="n">
        <v>0</v>
      </c>
      <c r="AO916" t="n">
        <v>0</v>
      </c>
      <c r="AP916" t="inlineStr">
        <is>
          <t>No</t>
        </is>
      </c>
      <c r="AQ916" t="inlineStr">
        <is>
          <t>Yes</t>
        </is>
      </c>
      <c r="AR916">
        <f>HYPERLINK("http://catalog.hathitrust.org/Record/004165179","HathiTrust Record")</f>
        <v/>
      </c>
      <c r="AS916">
        <f>HYPERLINK("https://creighton-primo.hosted.exlibrisgroup.com/primo-explore/search?tab=default_tab&amp;search_scope=EVERYTHING&amp;vid=01CRU&amp;lang=en_US&amp;offset=0&amp;query=any,contains,991004951269702656","Catalog Record")</f>
        <v/>
      </c>
      <c r="AT916">
        <f>HYPERLINK("http://www.worldcat.org/oclc/47752049","WorldCat Record")</f>
        <v/>
      </c>
      <c r="AU916" t="inlineStr">
        <is>
          <t>8908361397:eng</t>
        </is>
      </c>
      <c r="AV916" t="inlineStr">
        <is>
          <t>47752049</t>
        </is>
      </c>
      <c r="AW916" t="inlineStr">
        <is>
          <t>991004951269702656</t>
        </is>
      </c>
      <c r="AX916" t="inlineStr">
        <is>
          <t>991004951269702656</t>
        </is>
      </c>
      <c r="AY916" t="inlineStr">
        <is>
          <t>2263115970002656</t>
        </is>
      </c>
      <c r="AZ916" t="inlineStr">
        <is>
          <t>BOOK</t>
        </is>
      </c>
      <c r="BB916" t="inlineStr">
        <is>
          <t>9780824518875</t>
        </is>
      </c>
      <c r="BC916" t="inlineStr">
        <is>
          <t>32285005231526</t>
        </is>
      </c>
      <c r="BD916" t="inlineStr">
        <is>
          <t>893694544</t>
        </is>
      </c>
    </row>
    <row r="917">
      <c r="A917" t="inlineStr">
        <is>
          <t>No</t>
        </is>
      </c>
      <c r="B917" t="inlineStr">
        <is>
          <t>BV5083 .K44 1978</t>
        </is>
      </c>
      <c r="C917" t="inlineStr">
        <is>
          <t>0                      BV 5083000K  44          1978</t>
        </is>
      </c>
      <c r="D917" t="inlineStr">
        <is>
          <t>Discernment : a study in ecstasy and evil / by Morton Kelsey.</t>
        </is>
      </c>
      <c r="F917" t="inlineStr">
        <is>
          <t>No</t>
        </is>
      </c>
      <c r="G917" t="inlineStr">
        <is>
          <t>1</t>
        </is>
      </c>
      <c r="H917" t="inlineStr">
        <is>
          <t>No</t>
        </is>
      </c>
      <c r="I917" t="inlineStr">
        <is>
          <t>No</t>
        </is>
      </c>
      <c r="J917" t="inlineStr">
        <is>
          <t>0</t>
        </is>
      </c>
      <c r="K917" t="inlineStr">
        <is>
          <t>Kelsey, Morton T.</t>
        </is>
      </c>
      <c r="L917" t="inlineStr">
        <is>
          <t>New York : Paulist Press, c1978.</t>
        </is>
      </c>
      <c r="M917" t="inlineStr">
        <is>
          <t>1978</t>
        </is>
      </c>
      <c r="O917" t="inlineStr">
        <is>
          <t>eng</t>
        </is>
      </c>
      <c r="P917" t="inlineStr">
        <is>
          <t>nyu</t>
        </is>
      </c>
      <c r="R917" t="inlineStr">
        <is>
          <t xml:space="preserve">BV </t>
        </is>
      </c>
      <c r="S917" t="n">
        <v>9</v>
      </c>
      <c r="T917" t="n">
        <v>9</v>
      </c>
      <c r="U917" t="inlineStr">
        <is>
          <t>2009-07-19</t>
        </is>
      </c>
      <c r="V917" t="inlineStr">
        <is>
          <t>2009-07-19</t>
        </is>
      </c>
      <c r="W917" t="inlineStr">
        <is>
          <t>1990-07-13</t>
        </is>
      </c>
      <c r="X917" t="inlineStr">
        <is>
          <t>1990-07-13</t>
        </is>
      </c>
      <c r="Y917" t="n">
        <v>417</v>
      </c>
      <c r="Z917" t="n">
        <v>356</v>
      </c>
      <c r="AA917" t="n">
        <v>361</v>
      </c>
      <c r="AB917" t="n">
        <v>3</v>
      </c>
      <c r="AC917" t="n">
        <v>3</v>
      </c>
      <c r="AD917" t="n">
        <v>27</v>
      </c>
      <c r="AE917" t="n">
        <v>27</v>
      </c>
      <c r="AF917" t="n">
        <v>10</v>
      </c>
      <c r="AG917" t="n">
        <v>10</v>
      </c>
      <c r="AH917" t="n">
        <v>7</v>
      </c>
      <c r="AI917" t="n">
        <v>7</v>
      </c>
      <c r="AJ917" t="n">
        <v>17</v>
      </c>
      <c r="AK917" t="n">
        <v>17</v>
      </c>
      <c r="AL917" t="n">
        <v>1</v>
      </c>
      <c r="AM917" t="n">
        <v>1</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HYPERLINK("https://creighton-primo.hosted.exlibrisgroup.com/primo-explore/search?tab=default_tab&amp;search_scope=EVERYTHING&amp;vid=01CRU&amp;lang=en_US&amp;offset=0&amp;query=any,contains,991004632129702656","Catalog Record")</f>
        <v/>
      </c>
      <c r="AT917">
        <f>HYPERLINK("http://www.worldcat.org/oclc/4379572","WorldCat Record")</f>
        <v/>
      </c>
      <c r="AU917" t="inlineStr">
        <is>
          <t>892267173:eng</t>
        </is>
      </c>
      <c r="AV917" t="inlineStr">
        <is>
          <t>4379572</t>
        </is>
      </c>
      <c r="AW917" t="inlineStr">
        <is>
          <t>991004632129702656</t>
        </is>
      </c>
      <c r="AX917" t="inlineStr">
        <is>
          <t>991004632129702656</t>
        </is>
      </c>
      <c r="AY917" t="inlineStr">
        <is>
          <t>2265990420002656</t>
        </is>
      </c>
      <c r="AZ917" t="inlineStr">
        <is>
          <t>BOOK</t>
        </is>
      </c>
      <c r="BB917" t="inlineStr">
        <is>
          <t>9780809121571</t>
        </is>
      </c>
      <c r="BC917" t="inlineStr">
        <is>
          <t>32285000236843</t>
        </is>
      </c>
      <c r="BD917" t="inlineStr">
        <is>
          <t>893350223</t>
        </is>
      </c>
    </row>
    <row r="918">
      <c r="A918" t="inlineStr">
        <is>
          <t>No</t>
        </is>
      </c>
      <c r="B918" t="inlineStr">
        <is>
          <t>BV5083 .L4 1972</t>
        </is>
      </c>
      <c r="C918" t="inlineStr">
        <is>
          <t>0                      BV 5083000L  4           1972</t>
        </is>
      </c>
      <c r="D918" t="inlineStr">
        <is>
          <t>The psychology of religious mysticism / James H. Leuba.</t>
        </is>
      </c>
      <c r="F918" t="inlineStr">
        <is>
          <t>No</t>
        </is>
      </c>
      <c r="G918" t="inlineStr">
        <is>
          <t>1</t>
        </is>
      </c>
      <c r="H918" t="inlineStr">
        <is>
          <t>No</t>
        </is>
      </c>
      <c r="I918" t="inlineStr">
        <is>
          <t>No</t>
        </is>
      </c>
      <c r="J918" t="inlineStr">
        <is>
          <t>0</t>
        </is>
      </c>
      <c r="K918" t="inlineStr">
        <is>
          <t>Leuba, James H. (James Henry), 1868-1946.</t>
        </is>
      </c>
      <c r="L918" t="inlineStr">
        <is>
          <t>London, Boston, Routledge and K. Paul, 1972.</t>
        </is>
      </c>
      <c r="M918" t="inlineStr">
        <is>
          <t>1972</t>
        </is>
      </c>
      <c r="N918" t="inlineStr">
        <is>
          <t>Revised ed.</t>
        </is>
      </c>
      <c r="O918" t="inlineStr">
        <is>
          <t>eng</t>
        </is>
      </c>
      <c r="P918" t="inlineStr">
        <is>
          <t>enk</t>
        </is>
      </c>
      <c r="Q918" t="inlineStr">
        <is>
          <t>International library of psychology, philosophy, and scientific method</t>
        </is>
      </c>
      <c r="R918" t="inlineStr">
        <is>
          <t xml:space="preserve">BV </t>
        </is>
      </c>
      <c r="S918" t="n">
        <v>7</v>
      </c>
      <c r="T918" t="n">
        <v>7</v>
      </c>
      <c r="U918" t="inlineStr">
        <is>
          <t>1999-07-14</t>
        </is>
      </c>
      <c r="V918" t="inlineStr">
        <is>
          <t>1999-07-14</t>
        </is>
      </c>
      <c r="W918" t="inlineStr">
        <is>
          <t>1992-03-18</t>
        </is>
      </c>
      <c r="X918" t="inlineStr">
        <is>
          <t>1992-03-18</t>
        </is>
      </c>
      <c r="Y918" t="n">
        <v>162</v>
      </c>
      <c r="Z918" t="n">
        <v>137</v>
      </c>
      <c r="AA918" t="n">
        <v>470</v>
      </c>
      <c r="AB918" t="n">
        <v>1</v>
      </c>
      <c r="AC918" t="n">
        <v>4</v>
      </c>
      <c r="AD918" t="n">
        <v>5</v>
      </c>
      <c r="AE918" t="n">
        <v>20</v>
      </c>
      <c r="AF918" t="n">
        <v>1</v>
      </c>
      <c r="AG918" t="n">
        <v>9</v>
      </c>
      <c r="AH918" t="n">
        <v>1</v>
      </c>
      <c r="AI918" t="n">
        <v>3</v>
      </c>
      <c r="AJ918" t="n">
        <v>4</v>
      </c>
      <c r="AK918" t="n">
        <v>11</v>
      </c>
      <c r="AL918" t="n">
        <v>0</v>
      </c>
      <c r="AM918" t="n">
        <v>3</v>
      </c>
      <c r="AN918" t="n">
        <v>0</v>
      </c>
      <c r="AO918" t="n">
        <v>0</v>
      </c>
      <c r="AP918" t="inlineStr">
        <is>
          <t>No</t>
        </is>
      </c>
      <c r="AQ918" t="inlineStr">
        <is>
          <t>Yes</t>
        </is>
      </c>
      <c r="AR918">
        <f>HYPERLINK("http://catalog.hathitrust.org/Record/000015535","HathiTrust Record")</f>
        <v/>
      </c>
      <c r="AS918">
        <f>HYPERLINK("https://creighton-primo.hosted.exlibrisgroup.com/primo-explore/search?tab=default_tab&amp;search_scope=EVERYTHING&amp;vid=01CRU&amp;lang=en_US&amp;offset=0&amp;query=any,contains,991004227459702656","Catalog Record")</f>
        <v/>
      </c>
      <c r="AT918">
        <f>HYPERLINK("http://www.worldcat.org/oclc/2736001","WorldCat Record")</f>
        <v/>
      </c>
      <c r="AU918" t="inlineStr">
        <is>
          <t>60191:eng</t>
        </is>
      </c>
      <c r="AV918" t="inlineStr">
        <is>
          <t>2736001</t>
        </is>
      </c>
      <c r="AW918" t="inlineStr">
        <is>
          <t>991004227459702656</t>
        </is>
      </c>
      <c r="AX918" t="inlineStr">
        <is>
          <t>991004227459702656</t>
        </is>
      </c>
      <c r="AY918" t="inlineStr">
        <is>
          <t>2257752110002656</t>
        </is>
      </c>
      <c r="AZ918" t="inlineStr">
        <is>
          <t>BOOK</t>
        </is>
      </c>
      <c r="BB918" t="inlineStr">
        <is>
          <t>9780710073174</t>
        </is>
      </c>
      <c r="BC918" t="inlineStr">
        <is>
          <t>32285001016194</t>
        </is>
      </c>
      <c r="BD918" t="inlineStr">
        <is>
          <t>893894725</t>
        </is>
      </c>
    </row>
    <row r="919">
      <c r="A919" t="inlineStr">
        <is>
          <t>No</t>
        </is>
      </c>
      <c r="B919" t="inlineStr">
        <is>
          <t>BV5083 .M66 1997</t>
        </is>
      </c>
      <c r="C919" t="inlineStr">
        <is>
          <t>0                      BV 5083000M  66          1997</t>
        </is>
      </c>
      <c r="D919" t="inlineStr">
        <is>
          <t>Discerning God's will together : a spiritual practice for the church / Danny E. Morris and Charles M. Olsen.</t>
        </is>
      </c>
      <c r="F919" t="inlineStr">
        <is>
          <t>No</t>
        </is>
      </c>
      <c r="G919" t="inlineStr">
        <is>
          <t>1</t>
        </is>
      </c>
      <c r="H919" t="inlineStr">
        <is>
          <t>No</t>
        </is>
      </c>
      <c r="I919" t="inlineStr">
        <is>
          <t>No</t>
        </is>
      </c>
      <c r="J919" t="inlineStr">
        <is>
          <t>0</t>
        </is>
      </c>
      <c r="K919" t="inlineStr">
        <is>
          <t>Morris, Danny E.</t>
        </is>
      </c>
      <c r="L919" t="inlineStr">
        <is>
          <t>Nashville : Upper Room Books, c1997.</t>
        </is>
      </c>
      <c r="M919" t="inlineStr">
        <is>
          <t>1997</t>
        </is>
      </c>
      <c r="O919" t="inlineStr">
        <is>
          <t>eng</t>
        </is>
      </c>
      <c r="P919" t="inlineStr">
        <is>
          <t>tnu</t>
        </is>
      </c>
      <c r="R919" t="inlineStr">
        <is>
          <t xml:space="preserve">BV </t>
        </is>
      </c>
      <c r="S919" t="n">
        <v>5</v>
      </c>
      <c r="T919" t="n">
        <v>5</v>
      </c>
      <c r="U919" t="inlineStr">
        <is>
          <t>2003-12-08</t>
        </is>
      </c>
      <c r="V919" t="inlineStr">
        <is>
          <t>2003-12-08</t>
        </is>
      </c>
      <c r="W919" t="inlineStr">
        <is>
          <t>2001-01-16</t>
        </is>
      </c>
      <c r="X919" t="inlineStr">
        <is>
          <t>2001-01-16</t>
        </is>
      </c>
      <c r="Y919" t="n">
        <v>102</v>
      </c>
      <c r="Z919" t="n">
        <v>82</v>
      </c>
      <c r="AA919" t="n">
        <v>195</v>
      </c>
      <c r="AB919" t="n">
        <v>2</v>
      </c>
      <c r="AC919" t="n">
        <v>2</v>
      </c>
      <c r="AD919" t="n">
        <v>4</v>
      </c>
      <c r="AE919" t="n">
        <v>9</v>
      </c>
      <c r="AF919" t="n">
        <v>1</v>
      </c>
      <c r="AG919" t="n">
        <v>4</v>
      </c>
      <c r="AH919" t="n">
        <v>1</v>
      </c>
      <c r="AI919" t="n">
        <v>2</v>
      </c>
      <c r="AJ919" t="n">
        <v>2</v>
      </c>
      <c r="AK919" t="n">
        <v>4</v>
      </c>
      <c r="AL919" t="n">
        <v>0</v>
      </c>
      <c r="AM919" t="n">
        <v>0</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HYPERLINK("https://creighton-primo.hosted.exlibrisgroup.com/primo-explore/search?tab=default_tab&amp;search_scope=EVERYTHING&amp;vid=01CRU&amp;lang=en_US&amp;offset=0&amp;query=any,contains,991003363959702656","Catalog Record")</f>
        <v/>
      </c>
      <c r="AT919">
        <f>HYPERLINK("http://www.worldcat.org/oclc/35521708","WorldCat Record")</f>
        <v/>
      </c>
      <c r="AU919" t="inlineStr">
        <is>
          <t>820238365:eng</t>
        </is>
      </c>
      <c r="AV919" t="inlineStr">
        <is>
          <t>35521708</t>
        </is>
      </c>
      <c r="AW919" t="inlineStr">
        <is>
          <t>991003363959702656</t>
        </is>
      </c>
      <c r="AX919" t="inlineStr">
        <is>
          <t>991003363959702656</t>
        </is>
      </c>
      <c r="AY919" t="inlineStr">
        <is>
          <t>2257156490002656</t>
        </is>
      </c>
      <c r="AZ919" t="inlineStr">
        <is>
          <t>BOOK</t>
        </is>
      </c>
      <c r="BB919" t="inlineStr">
        <is>
          <t>9780835808088</t>
        </is>
      </c>
      <c r="BC919" t="inlineStr">
        <is>
          <t>32285004283916</t>
        </is>
      </c>
      <c r="BD919" t="inlineStr">
        <is>
          <t>893434938</t>
        </is>
      </c>
    </row>
    <row r="920">
      <c r="A920" t="inlineStr">
        <is>
          <t>No</t>
        </is>
      </c>
      <c r="B920" t="inlineStr">
        <is>
          <t>BV5083 .P76 1983</t>
        </is>
      </c>
      <c r="C920" t="inlineStr">
        <is>
          <t>0                      BV 5083000P  76          1983</t>
        </is>
      </c>
      <c r="D920" t="inlineStr">
        <is>
          <t>Homo spiritualis nititur fide : Martin Luther and Ignatius of Loyola : an analytical and comparative study of a hermeneutic based on the heuristic structure of discretio / Michael Proterra.</t>
        </is>
      </c>
      <c r="F920" t="inlineStr">
        <is>
          <t>No</t>
        </is>
      </c>
      <c r="G920" t="inlineStr">
        <is>
          <t>1</t>
        </is>
      </c>
      <c r="H920" t="inlineStr">
        <is>
          <t>No</t>
        </is>
      </c>
      <c r="I920" t="inlineStr">
        <is>
          <t>No</t>
        </is>
      </c>
      <c r="J920" t="inlineStr">
        <is>
          <t>0</t>
        </is>
      </c>
      <c r="K920" t="inlineStr">
        <is>
          <t>Proterra, Michael.</t>
        </is>
      </c>
      <c r="L920" t="inlineStr">
        <is>
          <t>Washington, D.C. : University Press of America, c1983.</t>
        </is>
      </c>
      <c r="M920" t="inlineStr">
        <is>
          <t>1983</t>
        </is>
      </c>
      <c r="O920" t="inlineStr">
        <is>
          <t>eng</t>
        </is>
      </c>
      <c r="P920" t="inlineStr">
        <is>
          <t>dcu</t>
        </is>
      </c>
      <c r="R920" t="inlineStr">
        <is>
          <t xml:space="preserve">BV </t>
        </is>
      </c>
      <c r="S920" t="n">
        <v>3</v>
      </c>
      <c r="T920" t="n">
        <v>3</v>
      </c>
      <c r="U920" t="inlineStr">
        <is>
          <t>2003-11-22</t>
        </is>
      </c>
      <c r="V920" t="inlineStr">
        <is>
          <t>2003-11-22</t>
        </is>
      </c>
      <c r="W920" t="inlineStr">
        <is>
          <t>1992-08-13</t>
        </is>
      </c>
      <c r="X920" t="inlineStr">
        <is>
          <t>1992-08-13</t>
        </is>
      </c>
      <c r="Y920" t="n">
        <v>141</v>
      </c>
      <c r="Z920" t="n">
        <v>108</v>
      </c>
      <c r="AA920" t="n">
        <v>108</v>
      </c>
      <c r="AB920" t="n">
        <v>1</v>
      </c>
      <c r="AC920" t="n">
        <v>1</v>
      </c>
      <c r="AD920" t="n">
        <v>11</v>
      </c>
      <c r="AE920" t="n">
        <v>11</v>
      </c>
      <c r="AF920" t="n">
        <v>3</v>
      </c>
      <c r="AG920" t="n">
        <v>3</v>
      </c>
      <c r="AH920" t="n">
        <v>3</v>
      </c>
      <c r="AI920" t="n">
        <v>3</v>
      </c>
      <c r="AJ920" t="n">
        <v>11</v>
      </c>
      <c r="AK920" t="n">
        <v>11</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HYPERLINK("https://creighton-primo.hosted.exlibrisgroup.com/primo-explore/search?tab=default_tab&amp;search_scope=EVERYTHING&amp;vid=01CRU&amp;lang=en_US&amp;offset=0&amp;query=any,contains,991000121229702656","Catalog Record")</f>
        <v/>
      </c>
      <c r="AT920">
        <f>HYPERLINK("http://www.worldcat.org/oclc/9066789","WorldCat Record")</f>
        <v/>
      </c>
      <c r="AU920" t="inlineStr">
        <is>
          <t>254225021:eng</t>
        </is>
      </c>
      <c r="AV920" t="inlineStr">
        <is>
          <t>9066789</t>
        </is>
      </c>
      <c r="AW920" t="inlineStr">
        <is>
          <t>991000121229702656</t>
        </is>
      </c>
      <c r="AX920" t="inlineStr">
        <is>
          <t>991000121229702656</t>
        </is>
      </c>
      <c r="AY920" t="inlineStr">
        <is>
          <t>2269858680002656</t>
        </is>
      </c>
      <c r="AZ920" t="inlineStr">
        <is>
          <t>BOOK</t>
        </is>
      </c>
      <c r="BB920" t="inlineStr">
        <is>
          <t>9780819129390</t>
        </is>
      </c>
      <c r="BC920" t="inlineStr">
        <is>
          <t>32285001245645</t>
        </is>
      </c>
      <c r="BD920" t="inlineStr">
        <is>
          <t>893237084</t>
        </is>
      </c>
    </row>
    <row r="921">
      <c r="A921" t="inlineStr">
        <is>
          <t>No</t>
        </is>
      </c>
      <c r="B921" t="inlineStr">
        <is>
          <t>BV5083 .S56 1997</t>
        </is>
      </c>
      <c r="C921" t="inlineStr">
        <is>
          <t>0                      BV 5083000S  56          1997</t>
        </is>
      </c>
      <c r="D921" t="inlineStr">
        <is>
          <t>From image to likeness : the Christian journey into God / William A. Simpson.</t>
        </is>
      </c>
      <c r="F921" t="inlineStr">
        <is>
          <t>No</t>
        </is>
      </c>
      <c r="G921" t="inlineStr">
        <is>
          <t>1</t>
        </is>
      </c>
      <c r="H921" t="inlineStr">
        <is>
          <t>No</t>
        </is>
      </c>
      <c r="I921" t="inlineStr">
        <is>
          <t>No</t>
        </is>
      </c>
      <c r="J921" t="inlineStr">
        <is>
          <t>0</t>
        </is>
      </c>
      <c r="K921" t="inlineStr">
        <is>
          <t>Simpson, William A., 1962-</t>
        </is>
      </c>
      <c r="L921" t="inlineStr">
        <is>
          <t>New York : Continuum, 1997.</t>
        </is>
      </c>
      <c r="M921" t="inlineStr">
        <is>
          <t>1997</t>
        </is>
      </c>
      <c r="O921" t="inlineStr">
        <is>
          <t>eng</t>
        </is>
      </c>
      <c r="P921" t="inlineStr">
        <is>
          <t>nyu</t>
        </is>
      </c>
      <c r="R921" t="inlineStr">
        <is>
          <t xml:space="preserve">BV </t>
        </is>
      </c>
      <c r="S921" t="n">
        <v>4</v>
      </c>
      <c r="T921" t="n">
        <v>4</v>
      </c>
      <c r="U921" t="inlineStr">
        <is>
          <t>1999-07-19</t>
        </is>
      </c>
      <c r="V921" t="inlineStr">
        <is>
          <t>1999-07-19</t>
        </is>
      </c>
      <c r="W921" t="inlineStr">
        <is>
          <t>1997-04-03</t>
        </is>
      </c>
      <c r="X921" t="inlineStr">
        <is>
          <t>1997-04-03</t>
        </is>
      </c>
      <c r="Y921" t="n">
        <v>188</v>
      </c>
      <c r="Z921" t="n">
        <v>174</v>
      </c>
      <c r="AA921" t="n">
        <v>179</v>
      </c>
      <c r="AB921" t="n">
        <v>2</v>
      </c>
      <c r="AC921" t="n">
        <v>2</v>
      </c>
      <c r="AD921" t="n">
        <v>13</v>
      </c>
      <c r="AE921" t="n">
        <v>13</v>
      </c>
      <c r="AF921" t="n">
        <v>3</v>
      </c>
      <c r="AG921" t="n">
        <v>3</v>
      </c>
      <c r="AH921" t="n">
        <v>4</v>
      </c>
      <c r="AI921" t="n">
        <v>4</v>
      </c>
      <c r="AJ921" t="n">
        <v>9</v>
      </c>
      <c r="AK921" t="n">
        <v>9</v>
      </c>
      <c r="AL921" t="n">
        <v>0</v>
      </c>
      <c r="AM921" t="n">
        <v>0</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HYPERLINK("https://creighton-primo.hosted.exlibrisgroup.com/primo-explore/search?tab=default_tab&amp;search_scope=EVERYTHING&amp;vid=01CRU&amp;lang=en_US&amp;offset=0&amp;query=any,contains,991002733999702656","Catalog Record")</f>
        <v/>
      </c>
      <c r="AT921">
        <f>HYPERLINK("http://www.worldcat.org/oclc/35865471","WorldCat Record")</f>
        <v/>
      </c>
      <c r="AU921" t="inlineStr">
        <is>
          <t>40599730:eng</t>
        </is>
      </c>
      <c r="AV921" t="inlineStr">
        <is>
          <t>35865471</t>
        </is>
      </c>
      <c r="AW921" t="inlineStr">
        <is>
          <t>991002733999702656</t>
        </is>
      </c>
      <c r="AX921" t="inlineStr">
        <is>
          <t>991002733999702656</t>
        </is>
      </c>
      <c r="AY921" t="inlineStr">
        <is>
          <t>2262897380002656</t>
        </is>
      </c>
      <c r="AZ921" t="inlineStr">
        <is>
          <t>BOOK</t>
        </is>
      </c>
      <c r="BB921" t="inlineStr">
        <is>
          <t>9780826410160</t>
        </is>
      </c>
      <c r="BC921" t="inlineStr">
        <is>
          <t>32285002478898</t>
        </is>
      </c>
      <c r="BD921" t="inlineStr">
        <is>
          <t>893523983</t>
        </is>
      </c>
    </row>
    <row r="922">
      <c r="A922" t="inlineStr">
        <is>
          <t>No</t>
        </is>
      </c>
      <c r="B922" t="inlineStr">
        <is>
          <t>BV5083 .S7 1928</t>
        </is>
      </c>
      <c r="C922" t="inlineStr">
        <is>
          <t>0                      BV 5083000S  7           1928</t>
        </is>
      </c>
      <c r="D922" t="inlineStr">
        <is>
          <t>Catholic mysticism : popular lectures / by A.J. Francis Stanton.</t>
        </is>
      </c>
      <c r="F922" t="inlineStr">
        <is>
          <t>No</t>
        </is>
      </c>
      <c r="G922" t="inlineStr">
        <is>
          <t>1</t>
        </is>
      </c>
      <c r="H922" t="inlineStr">
        <is>
          <t>No</t>
        </is>
      </c>
      <c r="I922" t="inlineStr">
        <is>
          <t>No</t>
        </is>
      </c>
      <c r="J922" t="inlineStr">
        <is>
          <t>0</t>
        </is>
      </c>
      <c r="K922" t="inlineStr">
        <is>
          <t>Stanton, A. J. Francis.</t>
        </is>
      </c>
      <c r="L922" t="inlineStr">
        <is>
          <t>London : Sands &amp; Co. ; St. Louis : Herder, [1929?]</t>
        </is>
      </c>
      <c r="M922" t="inlineStr">
        <is>
          <t>1929</t>
        </is>
      </c>
      <c r="O922" t="inlineStr">
        <is>
          <t>eng</t>
        </is>
      </c>
      <c r="P922" t="inlineStr">
        <is>
          <t>___</t>
        </is>
      </c>
      <c r="R922" t="inlineStr">
        <is>
          <t xml:space="preserve">BV </t>
        </is>
      </c>
      <c r="S922" t="n">
        <v>4</v>
      </c>
      <c r="T922" t="n">
        <v>4</v>
      </c>
      <c r="U922" t="inlineStr">
        <is>
          <t>2002-02-05</t>
        </is>
      </c>
      <c r="V922" t="inlineStr">
        <is>
          <t>2002-02-05</t>
        </is>
      </c>
      <c r="W922" t="inlineStr">
        <is>
          <t>1992-06-09</t>
        </is>
      </c>
      <c r="X922" t="inlineStr">
        <is>
          <t>1992-06-09</t>
        </is>
      </c>
      <c r="Y922" t="n">
        <v>41</v>
      </c>
      <c r="Z922" t="n">
        <v>32</v>
      </c>
      <c r="AA922" t="n">
        <v>32</v>
      </c>
      <c r="AB922" t="n">
        <v>1</v>
      </c>
      <c r="AC922" t="n">
        <v>1</v>
      </c>
      <c r="AD922" t="n">
        <v>9</v>
      </c>
      <c r="AE922" t="n">
        <v>9</v>
      </c>
      <c r="AF922" t="n">
        <v>2</v>
      </c>
      <c r="AG922" t="n">
        <v>2</v>
      </c>
      <c r="AH922" t="n">
        <v>2</v>
      </c>
      <c r="AI922" t="n">
        <v>2</v>
      </c>
      <c r="AJ922" t="n">
        <v>8</v>
      </c>
      <c r="AK922" t="n">
        <v>8</v>
      </c>
      <c r="AL922" t="n">
        <v>0</v>
      </c>
      <c r="AM922" t="n">
        <v>0</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HYPERLINK("https://creighton-primo.hosted.exlibrisgroup.com/primo-explore/search?tab=default_tab&amp;search_scope=EVERYTHING&amp;vid=01CRU&amp;lang=en_US&amp;offset=0&amp;query=any,contains,991003660259702656","Catalog Record")</f>
        <v/>
      </c>
      <c r="AT922">
        <f>HYPERLINK("http://www.worldcat.org/oclc/1267810","WorldCat Record")</f>
        <v/>
      </c>
      <c r="AU922" t="inlineStr">
        <is>
          <t>377056066:eng</t>
        </is>
      </c>
      <c r="AV922" t="inlineStr">
        <is>
          <t>1267810</t>
        </is>
      </c>
      <c r="AW922" t="inlineStr">
        <is>
          <t>991003660259702656</t>
        </is>
      </c>
      <c r="AX922" t="inlineStr">
        <is>
          <t>991003660259702656</t>
        </is>
      </c>
      <c r="AY922" t="inlineStr">
        <is>
          <t>2258259420002656</t>
        </is>
      </c>
      <c r="AZ922" t="inlineStr">
        <is>
          <t>BOOK</t>
        </is>
      </c>
      <c r="BC922" t="inlineStr">
        <is>
          <t>32285001074607</t>
        </is>
      </c>
      <c r="BD922" t="inlineStr">
        <is>
          <t>893410516</t>
        </is>
      </c>
    </row>
    <row r="923">
      <c r="A923" t="inlineStr">
        <is>
          <t>No</t>
        </is>
      </c>
      <c r="B923" t="inlineStr">
        <is>
          <t>BV5090 .F3 1926</t>
        </is>
      </c>
      <c r="C923" t="inlineStr">
        <is>
          <t>0                      BV 5090000F  3           1926</t>
        </is>
      </c>
      <c r="D923" t="inlineStr">
        <is>
          <t>Mystical phenomena compared with their human and diabolical counterfeits : a treatise on mystical theology in agreement with the principles of St. Teresa set forth by the Carmelite congress of 1923 at Madrid / by Mgr. Albert Farges. Translated from the 2d French ed. by S. P. Jacques.</t>
        </is>
      </c>
      <c r="F923" t="inlineStr">
        <is>
          <t>No</t>
        </is>
      </c>
      <c r="G923" t="inlineStr">
        <is>
          <t>1</t>
        </is>
      </c>
      <c r="H923" t="inlineStr">
        <is>
          <t>No</t>
        </is>
      </c>
      <c r="I923" t="inlineStr">
        <is>
          <t>No</t>
        </is>
      </c>
      <c r="J923" t="inlineStr">
        <is>
          <t>0</t>
        </is>
      </c>
      <c r="K923" t="inlineStr">
        <is>
          <t>Farges, Albert, 1848-1926.</t>
        </is>
      </c>
      <c r="L923" t="inlineStr">
        <is>
          <t>New York : Benziger, 1926, c1925.</t>
        </is>
      </c>
      <c r="M923" t="inlineStr">
        <is>
          <t>1926</t>
        </is>
      </c>
      <c r="O923" t="inlineStr">
        <is>
          <t>eng</t>
        </is>
      </c>
      <c r="P923" t="inlineStr">
        <is>
          <t xml:space="preserve">xx </t>
        </is>
      </c>
      <c r="R923" t="inlineStr">
        <is>
          <t xml:space="preserve">BV </t>
        </is>
      </c>
      <c r="S923" t="n">
        <v>2</v>
      </c>
      <c r="T923" t="n">
        <v>2</v>
      </c>
      <c r="U923" t="inlineStr">
        <is>
          <t>1994-09-09</t>
        </is>
      </c>
      <c r="V923" t="inlineStr">
        <is>
          <t>1994-09-09</t>
        </is>
      </c>
      <c r="W923" t="inlineStr">
        <is>
          <t>1992-03-19</t>
        </is>
      </c>
      <c r="X923" t="inlineStr">
        <is>
          <t>1992-03-19</t>
        </is>
      </c>
      <c r="Y923" t="n">
        <v>38</v>
      </c>
      <c r="Z923" t="n">
        <v>38</v>
      </c>
      <c r="AA923" t="n">
        <v>113</v>
      </c>
      <c r="AB923" t="n">
        <v>1</v>
      </c>
      <c r="AC923" t="n">
        <v>1</v>
      </c>
      <c r="AD923" t="n">
        <v>5</v>
      </c>
      <c r="AE923" t="n">
        <v>15</v>
      </c>
      <c r="AF923" t="n">
        <v>2</v>
      </c>
      <c r="AG923" t="n">
        <v>3</v>
      </c>
      <c r="AH923" t="n">
        <v>2</v>
      </c>
      <c r="AI923" t="n">
        <v>5</v>
      </c>
      <c r="AJ923" t="n">
        <v>3</v>
      </c>
      <c r="AK923" t="n">
        <v>11</v>
      </c>
      <c r="AL923" t="n">
        <v>0</v>
      </c>
      <c r="AM923" t="n">
        <v>0</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HYPERLINK("https://creighton-primo.hosted.exlibrisgroup.com/primo-explore/search?tab=default_tab&amp;search_scope=EVERYTHING&amp;vid=01CRU&amp;lang=en_US&amp;offset=0&amp;query=any,contains,991004423579702656","Catalog Record")</f>
        <v/>
      </c>
      <c r="AT923">
        <f>HYPERLINK("http://www.worldcat.org/oclc/3393126","WorldCat Record")</f>
        <v/>
      </c>
      <c r="AU923" t="inlineStr">
        <is>
          <t>3901240341:eng</t>
        </is>
      </c>
      <c r="AV923" t="inlineStr">
        <is>
          <t>3393126</t>
        </is>
      </c>
      <c r="AW923" t="inlineStr">
        <is>
          <t>991004423579702656</t>
        </is>
      </c>
      <c r="AX923" t="inlineStr">
        <is>
          <t>991004423579702656</t>
        </is>
      </c>
      <c r="AY923" t="inlineStr">
        <is>
          <t>2272254230002656</t>
        </is>
      </c>
      <c r="AZ923" t="inlineStr">
        <is>
          <t>BOOK</t>
        </is>
      </c>
      <c r="BC923" t="inlineStr">
        <is>
          <t>32285001016210</t>
        </is>
      </c>
      <c r="BD923" t="inlineStr">
        <is>
          <t>893532378</t>
        </is>
      </c>
    </row>
    <row r="924">
      <c r="A924" t="inlineStr">
        <is>
          <t>No</t>
        </is>
      </c>
      <c r="B924" t="inlineStr">
        <is>
          <t>BV5091 .M35 1986</t>
        </is>
      </c>
      <c r="C924" t="inlineStr">
        <is>
          <t>0                      BV 5091000M  35          1986</t>
        </is>
      </c>
      <c r="D924" t="inlineStr">
        <is>
          <t>Who do you say you are? / George A. Maloney.</t>
        </is>
      </c>
      <c r="F924" t="inlineStr">
        <is>
          <t>No</t>
        </is>
      </c>
      <c r="G924" t="inlineStr">
        <is>
          <t>1</t>
        </is>
      </c>
      <c r="H924" t="inlineStr">
        <is>
          <t>No</t>
        </is>
      </c>
      <c r="I924" t="inlineStr">
        <is>
          <t>No</t>
        </is>
      </c>
      <c r="J924" t="inlineStr">
        <is>
          <t>0</t>
        </is>
      </c>
      <c r="K924" t="inlineStr">
        <is>
          <t>Maloney, George A., 1924-2005.</t>
        </is>
      </c>
      <c r="L924" t="inlineStr">
        <is>
          <t>Hauppauge, N.Y. : Living Flame Press, c1986.</t>
        </is>
      </c>
      <c r="M924" t="inlineStr">
        <is>
          <t>1986</t>
        </is>
      </c>
      <c r="O924" t="inlineStr">
        <is>
          <t>eng</t>
        </is>
      </c>
      <c r="P924" t="inlineStr">
        <is>
          <t>nyu</t>
        </is>
      </c>
      <c r="R924" t="inlineStr">
        <is>
          <t xml:space="preserve">BV </t>
        </is>
      </c>
      <c r="S924" t="n">
        <v>1</v>
      </c>
      <c r="T924" t="n">
        <v>1</v>
      </c>
      <c r="U924" t="inlineStr">
        <is>
          <t>1992-10-28</t>
        </is>
      </c>
      <c r="V924" t="inlineStr">
        <is>
          <t>1992-10-28</t>
        </is>
      </c>
      <c r="W924" t="inlineStr">
        <is>
          <t>1990-08-01</t>
        </is>
      </c>
      <c r="X924" t="inlineStr">
        <is>
          <t>1990-08-01</t>
        </is>
      </c>
      <c r="Y924" t="n">
        <v>27</v>
      </c>
      <c r="Z924" t="n">
        <v>24</v>
      </c>
      <c r="AA924" t="n">
        <v>24</v>
      </c>
      <c r="AB924" t="n">
        <v>2</v>
      </c>
      <c r="AC924" t="n">
        <v>2</v>
      </c>
      <c r="AD924" t="n">
        <v>3</v>
      </c>
      <c r="AE924" t="n">
        <v>3</v>
      </c>
      <c r="AF924" t="n">
        <v>0</v>
      </c>
      <c r="AG924" t="n">
        <v>0</v>
      </c>
      <c r="AH924" t="n">
        <v>1</v>
      </c>
      <c r="AI924" t="n">
        <v>1</v>
      </c>
      <c r="AJ924" t="n">
        <v>1</v>
      </c>
      <c r="AK924" t="n">
        <v>1</v>
      </c>
      <c r="AL924" t="n">
        <v>1</v>
      </c>
      <c r="AM924" t="n">
        <v>1</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HYPERLINK("https://creighton-primo.hosted.exlibrisgroup.com/primo-explore/search?tab=default_tab&amp;search_scope=EVERYTHING&amp;vid=01CRU&amp;lang=en_US&amp;offset=0&amp;query=any,contains,991001104569702656","Catalog Record")</f>
        <v/>
      </c>
      <c r="AT924">
        <f>HYPERLINK("http://www.worldcat.org/oclc/16395907","WorldCat Record")</f>
        <v/>
      </c>
      <c r="AU924" t="inlineStr">
        <is>
          <t>12773040:eng</t>
        </is>
      </c>
      <c r="AV924" t="inlineStr">
        <is>
          <t>16395907</t>
        </is>
      </c>
      <c r="AW924" t="inlineStr">
        <is>
          <t>991001104569702656</t>
        </is>
      </c>
      <c r="AX924" t="inlineStr">
        <is>
          <t>991001104569702656</t>
        </is>
      </c>
      <c r="AY924" t="inlineStr">
        <is>
          <t>2261895290002656</t>
        </is>
      </c>
      <c r="AZ924" t="inlineStr">
        <is>
          <t>BOOK</t>
        </is>
      </c>
      <c r="BB924" t="inlineStr">
        <is>
          <t>9780914544647</t>
        </is>
      </c>
      <c r="BC924" t="inlineStr">
        <is>
          <t>32285000262047</t>
        </is>
      </c>
      <c r="BD924" t="inlineStr">
        <is>
          <t>893803348</t>
        </is>
      </c>
    </row>
    <row r="925">
      <c r="A925" t="inlineStr">
        <is>
          <t>No</t>
        </is>
      </c>
      <c r="B925" t="inlineStr">
        <is>
          <t>BV5091.C7 C37 1972</t>
        </is>
      </c>
      <c r="C925" t="inlineStr">
        <is>
          <t>0                      BV 5091000C  7                  C  37          1972</t>
        </is>
      </c>
      <c r="D925" t="inlineStr">
        <is>
          <t>Contemplation : liberating the ghost of the Church: churching the ghost of liberation / James Carroll.</t>
        </is>
      </c>
      <c r="F925" t="inlineStr">
        <is>
          <t>No</t>
        </is>
      </c>
      <c r="G925" t="inlineStr">
        <is>
          <t>1</t>
        </is>
      </c>
      <c r="H925" t="inlineStr">
        <is>
          <t>No</t>
        </is>
      </c>
      <c r="I925" t="inlineStr">
        <is>
          <t>No</t>
        </is>
      </c>
      <c r="J925" t="inlineStr">
        <is>
          <t>0</t>
        </is>
      </c>
      <c r="K925" t="inlineStr">
        <is>
          <t>Carroll, James, 1943-</t>
        </is>
      </c>
      <c r="L925" t="inlineStr">
        <is>
          <t>New York : Paulist Press, [1972]</t>
        </is>
      </c>
      <c r="M925" t="inlineStr">
        <is>
          <t>1972</t>
        </is>
      </c>
      <c r="O925" t="inlineStr">
        <is>
          <t>eng</t>
        </is>
      </c>
      <c r="P925" t="inlineStr">
        <is>
          <t>nyu</t>
        </is>
      </c>
      <c r="Q925" t="inlineStr">
        <is>
          <t>Paulist Press Deus book</t>
        </is>
      </c>
      <c r="R925" t="inlineStr">
        <is>
          <t xml:space="preserve">BV </t>
        </is>
      </c>
      <c r="S925" t="n">
        <v>2</v>
      </c>
      <c r="T925" t="n">
        <v>2</v>
      </c>
      <c r="U925" t="inlineStr">
        <is>
          <t>2001-04-01</t>
        </is>
      </c>
      <c r="V925" t="inlineStr">
        <is>
          <t>2001-04-01</t>
        </is>
      </c>
      <c r="W925" t="inlineStr">
        <is>
          <t>1991-07-11</t>
        </is>
      </c>
      <c r="X925" t="inlineStr">
        <is>
          <t>1991-07-11</t>
        </is>
      </c>
      <c r="Y925" t="n">
        <v>118</v>
      </c>
      <c r="Z925" t="n">
        <v>102</v>
      </c>
      <c r="AA925" t="n">
        <v>108</v>
      </c>
      <c r="AB925" t="n">
        <v>1</v>
      </c>
      <c r="AC925" t="n">
        <v>1</v>
      </c>
      <c r="AD925" t="n">
        <v>14</v>
      </c>
      <c r="AE925" t="n">
        <v>14</v>
      </c>
      <c r="AF925" t="n">
        <v>2</v>
      </c>
      <c r="AG925" t="n">
        <v>2</v>
      </c>
      <c r="AH925" t="n">
        <v>5</v>
      </c>
      <c r="AI925" t="n">
        <v>5</v>
      </c>
      <c r="AJ925" t="n">
        <v>9</v>
      </c>
      <c r="AK925" t="n">
        <v>9</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HYPERLINK("https://creighton-primo.hosted.exlibrisgroup.com/primo-explore/search?tab=default_tab&amp;search_scope=EVERYTHING&amp;vid=01CRU&amp;lang=en_US&amp;offset=0&amp;query=any,contains,991002395279702656","Catalog Record")</f>
        <v/>
      </c>
      <c r="AT925">
        <f>HYPERLINK("http://www.worldcat.org/oclc/334434","WorldCat Record")</f>
        <v/>
      </c>
      <c r="AU925" t="inlineStr">
        <is>
          <t>1448658:eng</t>
        </is>
      </c>
      <c r="AV925" t="inlineStr">
        <is>
          <t>334434</t>
        </is>
      </c>
      <c r="AW925" t="inlineStr">
        <is>
          <t>991002395279702656</t>
        </is>
      </c>
      <c r="AX925" t="inlineStr">
        <is>
          <t>991002395279702656</t>
        </is>
      </c>
      <c r="AY925" t="inlineStr">
        <is>
          <t>2257401000002656</t>
        </is>
      </c>
      <c r="AZ925" t="inlineStr">
        <is>
          <t>BOOK</t>
        </is>
      </c>
      <c r="BC925" t="inlineStr">
        <is>
          <t>32285000636992</t>
        </is>
      </c>
      <c r="BD925" t="inlineStr">
        <is>
          <t>893415148</t>
        </is>
      </c>
    </row>
    <row r="926">
      <c r="A926" t="inlineStr">
        <is>
          <t>No</t>
        </is>
      </c>
      <c r="B926" t="inlineStr">
        <is>
          <t>BV5091.C7 C373 1989</t>
        </is>
      </c>
      <c r="C926" t="inlineStr">
        <is>
          <t>0                      BV 5091000C  7                  C  373         1989</t>
        </is>
      </c>
      <c r="D926" t="inlineStr">
        <is>
          <t>Towards God : the Western tradition of contemplation / Michael Casey.</t>
        </is>
      </c>
      <c r="F926" t="inlineStr">
        <is>
          <t>No</t>
        </is>
      </c>
      <c r="G926" t="inlineStr">
        <is>
          <t>1</t>
        </is>
      </c>
      <c r="H926" t="inlineStr">
        <is>
          <t>No</t>
        </is>
      </c>
      <c r="I926" t="inlineStr">
        <is>
          <t>No</t>
        </is>
      </c>
      <c r="J926" t="inlineStr">
        <is>
          <t>0</t>
        </is>
      </c>
      <c r="K926" t="inlineStr">
        <is>
          <t>Casey, Michael, 1942-</t>
        </is>
      </c>
      <c r="L926" t="inlineStr">
        <is>
          <t>Melbourne : Collins Dove, 1989.</t>
        </is>
      </c>
      <c r="M926" t="inlineStr">
        <is>
          <t>1989</t>
        </is>
      </c>
      <c r="O926" t="inlineStr">
        <is>
          <t>eng</t>
        </is>
      </c>
      <c r="P926" t="inlineStr">
        <is>
          <t xml:space="preserve">at </t>
        </is>
      </c>
      <c r="R926" t="inlineStr">
        <is>
          <t xml:space="preserve">BV </t>
        </is>
      </c>
      <c r="S926" t="n">
        <v>3</v>
      </c>
      <c r="T926" t="n">
        <v>3</v>
      </c>
      <c r="U926" t="inlineStr">
        <is>
          <t>2007-06-20</t>
        </is>
      </c>
      <c r="V926" t="inlineStr">
        <is>
          <t>2007-06-20</t>
        </is>
      </c>
      <c r="W926" t="inlineStr">
        <is>
          <t>2003-12-11</t>
        </is>
      </c>
      <c r="X926" t="inlineStr">
        <is>
          <t>2003-12-11</t>
        </is>
      </c>
      <c r="Y926" t="n">
        <v>46</v>
      </c>
      <c r="Z926" t="n">
        <v>10</v>
      </c>
      <c r="AA926" t="n">
        <v>43</v>
      </c>
      <c r="AB926" t="n">
        <v>1</v>
      </c>
      <c r="AC926" t="n">
        <v>1</v>
      </c>
      <c r="AD926" t="n">
        <v>1</v>
      </c>
      <c r="AE926" t="n">
        <v>5</v>
      </c>
      <c r="AF926" t="n">
        <v>0</v>
      </c>
      <c r="AG926" t="n">
        <v>2</v>
      </c>
      <c r="AH926" t="n">
        <v>0</v>
      </c>
      <c r="AI926" t="n">
        <v>2</v>
      </c>
      <c r="AJ926" t="n">
        <v>1</v>
      </c>
      <c r="AK926" t="n">
        <v>3</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HYPERLINK("https://creighton-primo.hosted.exlibrisgroup.com/primo-explore/search?tab=default_tab&amp;search_scope=EVERYTHING&amp;vid=01CRU&amp;lang=en_US&amp;offset=0&amp;query=any,contains,991004203869702656","Catalog Record")</f>
        <v/>
      </c>
      <c r="AT926">
        <f>HYPERLINK("http://www.worldcat.org/oclc/29007969","WorldCat Record")</f>
        <v/>
      </c>
      <c r="AU926" t="inlineStr">
        <is>
          <t>30962522:eng</t>
        </is>
      </c>
      <c r="AV926" t="inlineStr">
        <is>
          <t>29007969</t>
        </is>
      </c>
      <c r="AW926" t="inlineStr">
        <is>
          <t>991004203869702656</t>
        </is>
      </c>
      <c r="AX926" t="inlineStr">
        <is>
          <t>991004203869702656</t>
        </is>
      </c>
      <c r="AY926" t="inlineStr">
        <is>
          <t>2270021220002656</t>
        </is>
      </c>
      <c r="AZ926" t="inlineStr">
        <is>
          <t>BOOK</t>
        </is>
      </c>
      <c r="BB926" t="inlineStr">
        <is>
          <t>9780859247160</t>
        </is>
      </c>
      <c r="BC926" t="inlineStr">
        <is>
          <t>32285004846522</t>
        </is>
      </c>
      <c r="BD926" t="inlineStr">
        <is>
          <t>893618378</t>
        </is>
      </c>
    </row>
    <row r="927">
      <c r="A927" t="inlineStr">
        <is>
          <t>No</t>
        </is>
      </c>
      <c r="B927" t="inlineStr">
        <is>
          <t>BV5091.C7 C43 1995</t>
        </is>
      </c>
      <c r="C927" t="inlineStr">
        <is>
          <t>0                      BV 5091000C  7                  C  43          1995</t>
        </is>
      </c>
      <c r="D927" t="inlineStr">
        <is>
          <t>Angelic wisdom : the cherubim and the grace of contemplation in Richard of St. Victor / Steven Chase.</t>
        </is>
      </c>
      <c r="F927" t="inlineStr">
        <is>
          <t>No</t>
        </is>
      </c>
      <c r="G927" t="inlineStr">
        <is>
          <t>1</t>
        </is>
      </c>
      <c r="H927" t="inlineStr">
        <is>
          <t>No</t>
        </is>
      </c>
      <c r="I927" t="inlineStr">
        <is>
          <t>No</t>
        </is>
      </c>
      <c r="J927" t="inlineStr">
        <is>
          <t>0</t>
        </is>
      </c>
      <c r="K927" t="inlineStr">
        <is>
          <t>Chase, Steven.</t>
        </is>
      </c>
      <c r="L927" t="inlineStr">
        <is>
          <t>Notre Dame : University of Notre Dame Press, c1995.</t>
        </is>
      </c>
      <c r="M927" t="inlineStr">
        <is>
          <t>1995</t>
        </is>
      </c>
      <c r="O927" t="inlineStr">
        <is>
          <t>eng</t>
        </is>
      </c>
      <c r="P927" t="inlineStr">
        <is>
          <t>inu</t>
        </is>
      </c>
      <c r="Q927" t="inlineStr">
        <is>
          <t>Studies in spirituality and theology ; 2</t>
        </is>
      </c>
      <c r="R927" t="inlineStr">
        <is>
          <t xml:space="preserve">BV </t>
        </is>
      </c>
      <c r="S927" t="n">
        <v>7</v>
      </c>
      <c r="T927" t="n">
        <v>7</v>
      </c>
      <c r="U927" t="inlineStr">
        <is>
          <t>2010-10-04</t>
        </is>
      </c>
      <c r="V927" t="inlineStr">
        <is>
          <t>2010-10-04</t>
        </is>
      </c>
      <c r="W927" t="inlineStr">
        <is>
          <t>1997-11-25</t>
        </is>
      </c>
      <c r="X927" t="inlineStr">
        <is>
          <t>1997-11-25</t>
        </is>
      </c>
      <c r="Y927" t="n">
        <v>191</v>
      </c>
      <c r="Z927" t="n">
        <v>155</v>
      </c>
      <c r="AA927" t="n">
        <v>157</v>
      </c>
      <c r="AB927" t="n">
        <v>2</v>
      </c>
      <c r="AC927" t="n">
        <v>2</v>
      </c>
      <c r="AD927" t="n">
        <v>15</v>
      </c>
      <c r="AE927" t="n">
        <v>15</v>
      </c>
      <c r="AF927" t="n">
        <v>4</v>
      </c>
      <c r="AG927" t="n">
        <v>4</v>
      </c>
      <c r="AH927" t="n">
        <v>5</v>
      </c>
      <c r="AI927" t="n">
        <v>5</v>
      </c>
      <c r="AJ927" t="n">
        <v>10</v>
      </c>
      <c r="AK927" t="n">
        <v>10</v>
      </c>
      <c r="AL927" t="n">
        <v>1</v>
      </c>
      <c r="AM927" t="n">
        <v>1</v>
      </c>
      <c r="AN927" t="n">
        <v>0</v>
      </c>
      <c r="AO927" t="n">
        <v>0</v>
      </c>
      <c r="AP927" t="inlineStr">
        <is>
          <t>No</t>
        </is>
      </c>
      <c r="AQ927" t="inlineStr">
        <is>
          <t>Yes</t>
        </is>
      </c>
      <c r="AR927">
        <f>HYPERLINK("http://catalog.hathitrust.org/Record/003064824","HathiTrust Record")</f>
        <v/>
      </c>
      <c r="AS927">
        <f>HYPERLINK("https://creighton-primo.hosted.exlibrisgroup.com/primo-explore/search?tab=default_tab&amp;search_scope=EVERYTHING&amp;vid=01CRU&amp;lang=en_US&amp;offset=0&amp;query=any,contains,991002437069702656","Catalog Record")</f>
        <v/>
      </c>
      <c r="AT927">
        <f>HYPERLINK("http://www.worldcat.org/oclc/31755360","WorldCat Record")</f>
        <v/>
      </c>
      <c r="AU927" t="inlineStr">
        <is>
          <t>33631494:eng</t>
        </is>
      </c>
      <c r="AV927" t="inlineStr">
        <is>
          <t>31755360</t>
        </is>
      </c>
      <c r="AW927" t="inlineStr">
        <is>
          <t>991002437069702656</t>
        </is>
      </c>
      <c r="AX927" t="inlineStr">
        <is>
          <t>991002437069702656</t>
        </is>
      </c>
      <c r="AY927" t="inlineStr">
        <is>
          <t>2271224670002656</t>
        </is>
      </c>
      <c r="AZ927" t="inlineStr">
        <is>
          <t>BOOK</t>
        </is>
      </c>
      <c r="BB927" t="inlineStr">
        <is>
          <t>9780268006440</t>
        </is>
      </c>
      <c r="BC927" t="inlineStr">
        <is>
          <t>32285003274254</t>
        </is>
      </c>
      <c r="BD927" t="inlineStr">
        <is>
          <t>893409097</t>
        </is>
      </c>
    </row>
    <row r="928">
      <c r="A928" t="inlineStr">
        <is>
          <t>No</t>
        </is>
      </c>
      <c r="B928" t="inlineStr">
        <is>
          <t>BV5091.C7 D86 1993</t>
        </is>
      </c>
      <c r="C928" t="inlineStr">
        <is>
          <t>0                      BV 5091000C  7                  D  86          1993</t>
        </is>
      </c>
      <c r="D928" t="inlineStr">
        <is>
          <t>Love's mind : an essay on contemplative life / John S. Dunne.</t>
        </is>
      </c>
      <c r="F928" t="inlineStr">
        <is>
          <t>No</t>
        </is>
      </c>
      <c r="G928" t="inlineStr">
        <is>
          <t>1</t>
        </is>
      </c>
      <c r="H928" t="inlineStr">
        <is>
          <t>No</t>
        </is>
      </c>
      <c r="I928" t="inlineStr">
        <is>
          <t>No</t>
        </is>
      </c>
      <c r="J928" t="inlineStr">
        <is>
          <t>0</t>
        </is>
      </c>
      <c r="K928" t="inlineStr">
        <is>
          <t>Dunne, John S., 1929-2013.</t>
        </is>
      </c>
      <c r="L928" t="inlineStr">
        <is>
          <t>Notre Dame : University of Notre Dame Press, c1993.</t>
        </is>
      </c>
      <c r="M928" t="inlineStr">
        <is>
          <t>1993</t>
        </is>
      </c>
      <c r="O928" t="inlineStr">
        <is>
          <t>eng</t>
        </is>
      </c>
      <c r="P928" t="inlineStr">
        <is>
          <t>inu</t>
        </is>
      </c>
      <c r="R928" t="inlineStr">
        <is>
          <t xml:space="preserve">BV </t>
        </is>
      </c>
      <c r="S928" t="n">
        <v>4</v>
      </c>
      <c r="T928" t="n">
        <v>4</v>
      </c>
      <c r="U928" t="inlineStr">
        <is>
          <t>2007-05-02</t>
        </is>
      </c>
      <c r="V928" t="inlineStr">
        <is>
          <t>2007-05-02</t>
        </is>
      </c>
      <c r="W928" t="inlineStr">
        <is>
          <t>1993-12-14</t>
        </is>
      </c>
      <c r="X928" t="inlineStr">
        <is>
          <t>1993-12-14</t>
        </is>
      </c>
      <c r="Y928" t="n">
        <v>349</v>
      </c>
      <c r="Z928" t="n">
        <v>314</v>
      </c>
      <c r="AA928" t="n">
        <v>321</v>
      </c>
      <c r="AB928" t="n">
        <v>4</v>
      </c>
      <c r="AC928" t="n">
        <v>4</v>
      </c>
      <c r="AD928" t="n">
        <v>20</v>
      </c>
      <c r="AE928" t="n">
        <v>20</v>
      </c>
      <c r="AF928" t="n">
        <v>7</v>
      </c>
      <c r="AG928" t="n">
        <v>7</v>
      </c>
      <c r="AH928" t="n">
        <v>5</v>
      </c>
      <c r="AI928" t="n">
        <v>5</v>
      </c>
      <c r="AJ928" t="n">
        <v>12</v>
      </c>
      <c r="AK928" t="n">
        <v>12</v>
      </c>
      <c r="AL928" t="n">
        <v>2</v>
      </c>
      <c r="AM928" t="n">
        <v>2</v>
      </c>
      <c r="AN928" t="n">
        <v>0</v>
      </c>
      <c r="AO928" t="n">
        <v>0</v>
      </c>
      <c r="AP928" t="inlineStr">
        <is>
          <t>No</t>
        </is>
      </c>
      <c r="AQ928" t="inlineStr">
        <is>
          <t>Yes</t>
        </is>
      </c>
      <c r="AR928">
        <f>HYPERLINK("http://catalog.hathitrust.org/Record/002797819","HathiTrust Record")</f>
        <v/>
      </c>
      <c r="AS928">
        <f>HYPERLINK("https://creighton-primo.hosted.exlibrisgroup.com/primo-explore/search?tab=default_tab&amp;search_scope=EVERYTHING&amp;vid=01CRU&amp;lang=en_US&amp;offset=0&amp;query=any,contains,991002186909702656","Catalog Record")</f>
        <v/>
      </c>
      <c r="AT928">
        <f>HYPERLINK("http://www.worldcat.org/oclc/28149059","WorldCat Record")</f>
        <v/>
      </c>
      <c r="AU928" t="inlineStr">
        <is>
          <t>30837153:eng</t>
        </is>
      </c>
      <c r="AV928" t="inlineStr">
        <is>
          <t>28149059</t>
        </is>
      </c>
      <c r="AW928" t="inlineStr">
        <is>
          <t>991002186909702656</t>
        </is>
      </c>
      <c r="AX928" t="inlineStr">
        <is>
          <t>991002186909702656</t>
        </is>
      </c>
      <c r="AY928" t="inlineStr">
        <is>
          <t>2271387850002656</t>
        </is>
      </c>
      <c r="AZ928" t="inlineStr">
        <is>
          <t>BOOK</t>
        </is>
      </c>
      <c r="BB928" t="inlineStr">
        <is>
          <t>9780268013035</t>
        </is>
      </c>
      <c r="BC928" t="inlineStr">
        <is>
          <t>32285001803310</t>
        </is>
      </c>
      <c r="BD928" t="inlineStr">
        <is>
          <t>893445011</t>
        </is>
      </c>
    </row>
    <row r="929">
      <c r="A929" t="inlineStr">
        <is>
          <t>No</t>
        </is>
      </c>
      <c r="B929" t="inlineStr">
        <is>
          <t>BV5091.C7 F37 1986</t>
        </is>
      </c>
      <c r="C929" t="inlineStr">
        <is>
          <t>0                      BV 5091000C  7                  F  37          1986</t>
        </is>
      </c>
      <c r="D929" t="inlineStr">
        <is>
          <t>Contemplating Jesus / Robert Faricy and Robert J. Wicks.</t>
        </is>
      </c>
      <c r="F929" t="inlineStr">
        <is>
          <t>No</t>
        </is>
      </c>
      <c r="G929" t="inlineStr">
        <is>
          <t>1</t>
        </is>
      </c>
      <c r="H929" t="inlineStr">
        <is>
          <t>No</t>
        </is>
      </c>
      <c r="I929" t="inlineStr">
        <is>
          <t>No</t>
        </is>
      </c>
      <c r="J929" t="inlineStr">
        <is>
          <t>0</t>
        </is>
      </c>
      <c r="K929" t="inlineStr">
        <is>
          <t>Faricy, Robert L., 1926-</t>
        </is>
      </c>
      <c r="L929" t="inlineStr">
        <is>
          <t>New York : Paulist Press, c1986.</t>
        </is>
      </c>
      <c r="M929" t="inlineStr">
        <is>
          <t>1986</t>
        </is>
      </c>
      <c r="O929" t="inlineStr">
        <is>
          <t>eng</t>
        </is>
      </c>
      <c r="P929" t="inlineStr">
        <is>
          <t>nyu</t>
        </is>
      </c>
      <c r="R929" t="inlineStr">
        <is>
          <t xml:space="preserve">BV </t>
        </is>
      </c>
      <c r="S929" t="n">
        <v>3</v>
      </c>
      <c r="T929" t="n">
        <v>3</v>
      </c>
      <c r="U929" t="inlineStr">
        <is>
          <t>2000-07-03</t>
        </is>
      </c>
      <c r="V929" t="inlineStr">
        <is>
          <t>2000-07-03</t>
        </is>
      </c>
      <c r="W929" t="inlineStr">
        <is>
          <t>1992-03-19</t>
        </is>
      </c>
      <c r="X929" t="inlineStr">
        <is>
          <t>1992-03-19</t>
        </is>
      </c>
      <c r="Y929" t="n">
        <v>64</v>
      </c>
      <c r="Z929" t="n">
        <v>59</v>
      </c>
      <c r="AA929" t="n">
        <v>59</v>
      </c>
      <c r="AB929" t="n">
        <v>2</v>
      </c>
      <c r="AC929" t="n">
        <v>2</v>
      </c>
      <c r="AD929" t="n">
        <v>3</v>
      </c>
      <c r="AE929" t="n">
        <v>3</v>
      </c>
      <c r="AF929" t="n">
        <v>0</v>
      </c>
      <c r="AG929" t="n">
        <v>0</v>
      </c>
      <c r="AH929" t="n">
        <v>2</v>
      </c>
      <c r="AI929" t="n">
        <v>2</v>
      </c>
      <c r="AJ929" t="n">
        <v>2</v>
      </c>
      <c r="AK929" t="n">
        <v>2</v>
      </c>
      <c r="AL929" t="n">
        <v>0</v>
      </c>
      <c r="AM929" t="n">
        <v>0</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HYPERLINK("https://creighton-primo.hosted.exlibrisgroup.com/primo-explore/search?tab=default_tab&amp;search_scope=EVERYTHING&amp;vid=01CRU&amp;lang=en_US&amp;offset=0&amp;query=any,contains,991000865499702656","Catalog Record")</f>
        <v/>
      </c>
      <c r="AT929">
        <f>HYPERLINK("http://www.worldcat.org/oclc/13741031","WorldCat Record")</f>
        <v/>
      </c>
      <c r="AU929" t="inlineStr">
        <is>
          <t>3372274207:eng</t>
        </is>
      </c>
      <c r="AV929" t="inlineStr">
        <is>
          <t>13741031</t>
        </is>
      </c>
      <c r="AW929" t="inlineStr">
        <is>
          <t>991000865499702656</t>
        </is>
      </c>
      <c r="AX929" t="inlineStr">
        <is>
          <t>991000865499702656</t>
        </is>
      </c>
      <c r="AY929" t="inlineStr">
        <is>
          <t>2268680270002656</t>
        </is>
      </c>
      <c r="AZ929" t="inlineStr">
        <is>
          <t>BOOK</t>
        </is>
      </c>
      <c r="BB929" t="inlineStr">
        <is>
          <t>9780809127573</t>
        </is>
      </c>
      <c r="BC929" t="inlineStr">
        <is>
          <t>32285001016269</t>
        </is>
      </c>
      <c r="BD929" t="inlineStr">
        <is>
          <t>893897287</t>
        </is>
      </c>
    </row>
    <row r="930">
      <c r="A930" t="inlineStr">
        <is>
          <t>No</t>
        </is>
      </c>
      <c r="B930" t="inlineStr">
        <is>
          <t>BV5091.C7 F57 2000</t>
        </is>
      </c>
      <c r="C930" t="inlineStr">
        <is>
          <t>0                      BV 5091000C  7                  F  57          2000</t>
        </is>
      </c>
      <c r="D930" t="inlineStr">
        <is>
          <t>The contemplative heart / James Finley.</t>
        </is>
      </c>
      <c r="F930" t="inlineStr">
        <is>
          <t>No</t>
        </is>
      </c>
      <c r="G930" t="inlineStr">
        <is>
          <t>1</t>
        </is>
      </c>
      <c r="H930" t="inlineStr">
        <is>
          <t>No</t>
        </is>
      </c>
      <c r="I930" t="inlineStr">
        <is>
          <t>No</t>
        </is>
      </c>
      <c r="J930" t="inlineStr">
        <is>
          <t>0</t>
        </is>
      </c>
      <c r="K930" t="inlineStr">
        <is>
          <t>Finley, James.</t>
        </is>
      </c>
      <c r="L930" t="inlineStr">
        <is>
          <t>Notre Dame, Ind. : Sorin Books, c2000.</t>
        </is>
      </c>
      <c r="M930" t="inlineStr">
        <is>
          <t>2000</t>
        </is>
      </c>
      <c r="O930" t="inlineStr">
        <is>
          <t>eng</t>
        </is>
      </c>
      <c r="P930" t="inlineStr">
        <is>
          <t>inu</t>
        </is>
      </c>
      <c r="R930" t="inlineStr">
        <is>
          <t xml:space="preserve">BV </t>
        </is>
      </c>
      <c r="S930" t="n">
        <v>6</v>
      </c>
      <c r="T930" t="n">
        <v>6</v>
      </c>
      <c r="U930" t="inlineStr">
        <is>
          <t>2006-06-29</t>
        </is>
      </c>
      <c r="V930" t="inlineStr">
        <is>
          <t>2006-06-29</t>
        </is>
      </c>
      <c r="W930" t="inlineStr">
        <is>
          <t>2001-08-14</t>
        </is>
      </c>
      <c r="X930" t="inlineStr">
        <is>
          <t>2001-08-14</t>
        </is>
      </c>
      <c r="Y930" t="n">
        <v>112</v>
      </c>
      <c r="Z930" t="n">
        <v>96</v>
      </c>
      <c r="AA930" t="n">
        <v>96</v>
      </c>
      <c r="AB930" t="n">
        <v>1</v>
      </c>
      <c r="AC930" t="n">
        <v>1</v>
      </c>
      <c r="AD930" t="n">
        <v>6</v>
      </c>
      <c r="AE930" t="n">
        <v>6</v>
      </c>
      <c r="AF930" t="n">
        <v>2</v>
      </c>
      <c r="AG930" t="n">
        <v>2</v>
      </c>
      <c r="AH930" t="n">
        <v>1</v>
      </c>
      <c r="AI930" t="n">
        <v>1</v>
      </c>
      <c r="AJ930" t="n">
        <v>4</v>
      </c>
      <c r="AK930" t="n">
        <v>4</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HYPERLINK("https://creighton-primo.hosted.exlibrisgroup.com/primo-explore/search?tab=default_tab&amp;search_scope=EVERYTHING&amp;vid=01CRU&amp;lang=en_US&amp;offset=0&amp;query=any,contains,991003576469702656","Catalog Record")</f>
        <v/>
      </c>
      <c r="AT930">
        <f>HYPERLINK("http://www.worldcat.org/oclc/43539385","WorldCat Record")</f>
        <v/>
      </c>
      <c r="AU930" t="inlineStr">
        <is>
          <t>45116319:eng</t>
        </is>
      </c>
      <c r="AV930" t="inlineStr">
        <is>
          <t>43539385</t>
        </is>
      </c>
      <c r="AW930" t="inlineStr">
        <is>
          <t>991003576469702656</t>
        </is>
      </c>
      <c r="AX930" t="inlineStr">
        <is>
          <t>991003576469702656</t>
        </is>
      </c>
      <c r="AY930" t="inlineStr">
        <is>
          <t>2268246810002656</t>
        </is>
      </c>
      <c r="AZ930" t="inlineStr">
        <is>
          <t>BOOK</t>
        </is>
      </c>
      <c r="BB930" t="inlineStr">
        <is>
          <t>9781893732100</t>
        </is>
      </c>
      <c r="BC930" t="inlineStr">
        <is>
          <t>32285004698048</t>
        </is>
      </c>
      <c r="BD930" t="inlineStr">
        <is>
          <t>893342708</t>
        </is>
      </c>
    </row>
    <row r="931">
      <c r="A931" t="inlineStr">
        <is>
          <t>No</t>
        </is>
      </c>
      <c r="B931" t="inlineStr">
        <is>
          <t>BV5091.C7 K4 1997</t>
        </is>
      </c>
      <c r="C931" t="inlineStr">
        <is>
          <t>0                      BV 5091000C  7                  K  4           1997</t>
        </is>
      </c>
      <c r="D931" t="inlineStr">
        <is>
          <t>Active meditations for contemplative prayer / Thomas Keating.</t>
        </is>
      </c>
      <c r="F931" t="inlineStr">
        <is>
          <t>No</t>
        </is>
      </c>
      <c r="G931" t="inlineStr">
        <is>
          <t>1</t>
        </is>
      </c>
      <c r="H931" t="inlineStr">
        <is>
          <t>No</t>
        </is>
      </c>
      <c r="I931" t="inlineStr">
        <is>
          <t>No</t>
        </is>
      </c>
      <c r="J931" t="inlineStr">
        <is>
          <t>0</t>
        </is>
      </c>
      <c r="K931" t="inlineStr">
        <is>
          <t>Keating, Thomas.</t>
        </is>
      </c>
      <c r="L931" t="inlineStr">
        <is>
          <t>New York : Continuum, 1997.</t>
        </is>
      </c>
      <c r="M931" t="inlineStr">
        <is>
          <t>1997</t>
        </is>
      </c>
      <c r="O931" t="inlineStr">
        <is>
          <t>eng</t>
        </is>
      </c>
      <c r="P931" t="inlineStr">
        <is>
          <t>nyu</t>
        </is>
      </c>
      <c r="R931" t="inlineStr">
        <is>
          <t xml:space="preserve">BV </t>
        </is>
      </c>
      <c r="S931" t="n">
        <v>8</v>
      </c>
      <c r="T931" t="n">
        <v>8</v>
      </c>
      <c r="U931" t="inlineStr">
        <is>
          <t>2008-11-12</t>
        </is>
      </c>
      <c r="V931" t="inlineStr">
        <is>
          <t>2008-11-12</t>
        </is>
      </c>
      <c r="W931" t="inlineStr">
        <is>
          <t>1997-12-11</t>
        </is>
      </c>
      <c r="X931" t="inlineStr">
        <is>
          <t>1997-12-11</t>
        </is>
      </c>
      <c r="Y931" t="n">
        <v>96</v>
      </c>
      <c r="Z931" t="n">
        <v>92</v>
      </c>
      <c r="AA931" t="n">
        <v>102</v>
      </c>
      <c r="AB931" t="n">
        <v>1</v>
      </c>
      <c r="AC931" t="n">
        <v>1</v>
      </c>
      <c r="AD931" t="n">
        <v>6</v>
      </c>
      <c r="AE931" t="n">
        <v>8</v>
      </c>
      <c r="AF931" t="n">
        <v>5</v>
      </c>
      <c r="AG931" t="n">
        <v>5</v>
      </c>
      <c r="AH931" t="n">
        <v>1</v>
      </c>
      <c r="AI931" t="n">
        <v>3</v>
      </c>
      <c r="AJ931" t="n">
        <v>4</v>
      </c>
      <c r="AK931" t="n">
        <v>4</v>
      </c>
      <c r="AL931" t="n">
        <v>0</v>
      </c>
      <c r="AM931" t="n">
        <v>0</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HYPERLINK("https://creighton-primo.hosted.exlibrisgroup.com/primo-explore/search?tab=default_tab&amp;search_scope=EVERYTHING&amp;vid=01CRU&amp;lang=en_US&amp;offset=0&amp;query=any,contains,991002848039702656","Catalog Record")</f>
        <v/>
      </c>
      <c r="AT931">
        <f>HYPERLINK("http://www.worldcat.org/oclc/37527740","WorldCat Record")</f>
        <v/>
      </c>
      <c r="AU931" t="inlineStr">
        <is>
          <t>629568:eng</t>
        </is>
      </c>
      <c r="AV931" t="inlineStr">
        <is>
          <t>37527740</t>
        </is>
      </c>
      <c r="AW931" t="inlineStr">
        <is>
          <t>991002848039702656</t>
        </is>
      </c>
      <c r="AX931" t="inlineStr">
        <is>
          <t>991002848039702656</t>
        </is>
      </c>
      <c r="AY931" t="inlineStr">
        <is>
          <t>2265052590002656</t>
        </is>
      </c>
      <c r="AZ931" t="inlineStr">
        <is>
          <t>BOOK</t>
        </is>
      </c>
      <c r="BB931" t="inlineStr">
        <is>
          <t>9780826410610</t>
        </is>
      </c>
      <c r="BC931" t="inlineStr">
        <is>
          <t>32285003282844</t>
        </is>
      </c>
      <c r="BD931" t="inlineStr">
        <is>
          <t>893440591</t>
        </is>
      </c>
    </row>
    <row r="932">
      <c r="A932" t="inlineStr">
        <is>
          <t>No</t>
        </is>
      </c>
      <c r="B932" t="inlineStr">
        <is>
          <t>BV5091.C7 M27 1988</t>
        </is>
      </c>
      <c r="C932" t="inlineStr">
        <is>
          <t>0                      BV 5091000C  7                  M  27          1988</t>
        </is>
      </c>
      <c r="D932" t="inlineStr">
        <is>
          <t>The heart of creation : the meditative way / John Main ; introduction by Laurence Freeman.</t>
        </is>
      </c>
      <c r="F932" t="inlineStr">
        <is>
          <t>No</t>
        </is>
      </c>
      <c r="G932" t="inlineStr">
        <is>
          <t>1</t>
        </is>
      </c>
      <c r="H932" t="inlineStr">
        <is>
          <t>No</t>
        </is>
      </c>
      <c r="I932" t="inlineStr">
        <is>
          <t>No</t>
        </is>
      </c>
      <c r="J932" t="inlineStr">
        <is>
          <t>0</t>
        </is>
      </c>
      <c r="K932" t="inlineStr">
        <is>
          <t>Main, John, 1926-1982.</t>
        </is>
      </c>
      <c r="L932" t="inlineStr">
        <is>
          <t>New York : Crossroad, 1989, c1988.</t>
        </is>
      </c>
      <c r="M932" t="inlineStr">
        <is>
          <t>1989</t>
        </is>
      </c>
      <c r="O932" t="inlineStr">
        <is>
          <t>eng</t>
        </is>
      </c>
      <c r="P932" t="inlineStr">
        <is>
          <t>nyu</t>
        </is>
      </c>
      <c r="R932" t="inlineStr">
        <is>
          <t xml:space="preserve">BV </t>
        </is>
      </c>
      <c r="S932" t="n">
        <v>7</v>
      </c>
      <c r="T932" t="n">
        <v>7</v>
      </c>
      <c r="U932" t="inlineStr">
        <is>
          <t>2005-07-25</t>
        </is>
      </c>
      <c r="V932" t="inlineStr">
        <is>
          <t>2005-07-25</t>
        </is>
      </c>
      <c r="W932" t="inlineStr">
        <is>
          <t>1992-03-19</t>
        </is>
      </c>
      <c r="X932" t="inlineStr">
        <is>
          <t>1992-03-19</t>
        </is>
      </c>
      <c r="Y932" t="n">
        <v>111</v>
      </c>
      <c r="Z932" t="n">
        <v>95</v>
      </c>
      <c r="AA932" t="n">
        <v>125</v>
      </c>
      <c r="AB932" t="n">
        <v>2</v>
      </c>
      <c r="AC932" t="n">
        <v>2</v>
      </c>
      <c r="AD932" t="n">
        <v>6</v>
      </c>
      <c r="AE932" t="n">
        <v>10</v>
      </c>
      <c r="AF932" t="n">
        <v>1</v>
      </c>
      <c r="AG932" t="n">
        <v>2</v>
      </c>
      <c r="AH932" t="n">
        <v>1</v>
      </c>
      <c r="AI932" t="n">
        <v>1</v>
      </c>
      <c r="AJ932" t="n">
        <v>4</v>
      </c>
      <c r="AK932" t="n">
        <v>8</v>
      </c>
      <c r="AL932" t="n">
        <v>0</v>
      </c>
      <c r="AM932" t="n">
        <v>0</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HYPERLINK("https://creighton-primo.hosted.exlibrisgroup.com/primo-explore/search?tab=default_tab&amp;search_scope=EVERYTHING&amp;vid=01CRU&amp;lang=en_US&amp;offset=0&amp;query=any,contains,991001482189702656","Catalog Record")</f>
        <v/>
      </c>
      <c r="AT932">
        <f>HYPERLINK("http://www.worldcat.org/oclc/19627501","WorldCat Record")</f>
        <v/>
      </c>
      <c r="AU932" t="inlineStr">
        <is>
          <t>1863175998:eng</t>
        </is>
      </c>
      <c r="AV932" t="inlineStr">
        <is>
          <t>19627501</t>
        </is>
      </c>
      <c r="AW932" t="inlineStr">
        <is>
          <t>991001482189702656</t>
        </is>
      </c>
      <c r="AX932" t="inlineStr">
        <is>
          <t>991001482189702656</t>
        </is>
      </c>
      <c r="AY932" t="inlineStr">
        <is>
          <t>2266277760002656</t>
        </is>
      </c>
      <c r="AZ932" t="inlineStr">
        <is>
          <t>BOOK</t>
        </is>
      </c>
      <c r="BB932" t="inlineStr">
        <is>
          <t>9780824509576</t>
        </is>
      </c>
      <c r="BC932" t="inlineStr">
        <is>
          <t>32285001016285</t>
        </is>
      </c>
      <c r="BD932" t="inlineStr">
        <is>
          <t>893256275</t>
        </is>
      </c>
    </row>
    <row r="933">
      <c r="A933" t="inlineStr">
        <is>
          <t>No</t>
        </is>
      </c>
      <c r="B933" t="inlineStr">
        <is>
          <t>BV5091.C7 M313 1960</t>
        </is>
      </c>
      <c r="C933" t="inlineStr">
        <is>
          <t>0                      BV 5091000C  7                  M  313         1960</t>
        </is>
      </c>
      <c r="D933" t="inlineStr">
        <is>
          <t>Liturgy and contemplation / Jacques and Raïssa Maritain ; translated from the French by Joseph W. Evans.</t>
        </is>
      </c>
      <c r="F933" t="inlineStr">
        <is>
          <t>No</t>
        </is>
      </c>
      <c r="G933" t="inlineStr">
        <is>
          <t>1</t>
        </is>
      </c>
      <c r="H933" t="inlineStr">
        <is>
          <t>No</t>
        </is>
      </c>
      <c r="I933" t="inlineStr">
        <is>
          <t>No</t>
        </is>
      </c>
      <c r="J933" t="inlineStr">
        <is>
          <t>0</t>
        </is>
      </c>
      <c r="K933" t="inlineStr">
        <is>
          <t>Maritain, Jacques, 1882-1973.</t>
        </is>
      </c>
      <c r="L933" t="inlineStr">
        <is>
          <t>New York : P.J. Kenedy, [1960]</t>
        </is>
      </c>
      <c r="M933" t="inlineStr">
        <is>
          <t>1960</t>
        </is>
      </c>
      <c r="O933" t="inlineStr">
        <is>
          <t>eng</t>
        </is>
      </c>
      <c r="P933" t="inlineStr">
        <is>
          <t xml:space="preserve">xx </t>
        </is>
      </c>
      <c r="R933" t="inlineStr">
        <is>
          <t xml:space="preserve">BV </t>
        </is>
      </c>
      <c r="S933" t="n">
        <v>5</v>
      </c>
      <c r="T933" t="n">
        <v>5</v>
      </c>
      <c r="U933" t="inlineStr">
        <is>
          <t>2006-12-18</t>
        </is>
      </c>
      <c r="V933" t="inlineStr">
        <is>
          <t>2006-12-18</t>
        </is>
      </c>
      <c r="W933" t="inlineStr">
        <is>
          <t>1992-03-19</t>
        </is>
      </c>
      <c r="X933" t="inlineStr">
        <is>
          <t>1992-03-19</t>
        </is>
      </c>
      <c r="Y933" t="n">
        <v>303</v>
      </c>
      <c r="Z933" t="n">
        <v>282</v>
      </c>
      <c r="AA933" t="n">
        <v>298</v>
      </c>
      <c r="AB933" t="n">
        <v>1</v>
      </c>
      <c r="AC933" t="n">
        <v>1</v>
      </c>
      <c r="AD933" t="n">
        <v>26</v>
      </c>
      <c r="AE933" t="n">
        <v>27</v>
      </c>
      <c r="AF933" t="n">
        <v>8</v>
      </c>
      <c r="AG933" t="n">
        <v>9</v>
      </c>
      <c r="AH933" t="n">
        <v>7</v>
      </c>
      <c r="AI933" t="n">
        <v>7</v>
      </c>
      <c r="AJ933" t="n">
        <v>21</v>
      </c>
      <c r="AK933" t="n">
        <v>22</v>
      </c>
      <c r="AL933" t="n">
        <v>0</v>
      </c>
      <c r="AM933" t="n">
        <v>0</v>
      </c>
      <c r="AN933" t="n">
        <v>0</v>
      </c>
      <c r="AO933" t="n">
        <v>0</v>
      </c>
      <c r="AP933" t="inlineStr">
        <is>
          <t>No</t>
        </is>
      </c>
      <c r="AQ933" t="inlineStr">
        <is>
          <t>No</t>
        </is>
      </c>
      <c r="AR933">
        <f>HYPERLINK("http://catalog.hathitrust.org/Record/001415101","HathiTrust Record")</f>
        <v/>
      </c>
      <c r="AS933">
        <f>HYPERLINK("https://creighton-primo.hosted.exlibrisgroup.com/primo-explore/search?tab=default_tab&amp;search_scope=EVERYTHING&amp;vid=01CRU&amp;lang=en_US&amp;offset=0&amp;query=any,contains,991002640839702656","Catalog Record")</f>
        <v/>
      </c>
      <c r="AT933">
        <f>HYPERLINK("http://www.worldcat.org/oclc/384297","WorldCat Record")</f>
        <v/>
      </c>
      <c r="AU933" t="inlineStr">
        <is>
          <t>2908847177:eng</t>
        </is>
      </c>
      <c r="AV933" t="inlineStr">
        <is>
          <t>384297</t>
        </is>
      </c>
      <c r="AW933" t="inlineStr">
        <is>
          <t>991002640839702656</t>
        </is>
      </c>
      <c r="AX933" t="inlineStr">
        <is>
          <t>991002640839702656</t>
        </is>
      </c>
      <c r="AY933" t="inlineStr">
        <is>
          <t>2256319270002656</t>
        </is>
      </c>
      <c r="AZ933" t="inlineStr">
        <is>
          <t>BOOK</t>
        </is>
      </c>
      <c r="BC933" t="inlineStr">
        <is>
          <t>32285001016301</t>
        </is>
      </c>
      <c r="BD933" t="inlineStr">
        <is>
          <t>893421619</t>
        </is>
      </c>
    </row>
    <row r="934">
      <c r="A934" t="inlineStr">
        <is>
          <t>No</t>
        </is>
      </c>
      <c r="B934" t="inlineStr">
        <is>
          <t>BV5091.C7 M35</t>
        </is>
      </c>
      <c r="C934" t="inlineStr">
        <is>
          <t>0                      BV 5091000C  7                  M  35</t>
        </is>
      </c>
      <c r="D934" t="inlineStr">
        <is>
          <t>Jesus, set me free: inner freedom through contemplation / by George A. Maloney, S.J. --</t>
        </is>
      </c>
      <c r="F934" t="inlineStr">
        <is>
          <t>No</t>
        </is>
      </c>
      <c r="G934" t="inlineStr">
        <is>
          <t>1</t>
        </is>
      </c>
      <c r="H934" t="inlineStr">
        <is>
          <t>No</t>
        </is>
      </c>
      <c r="I934" t="inlineStr">
        <is>
          <t>No</t>
        </is>
      </c>
      <c r="J934" t="inlineStr">
        <is>
          <t>0</t>
        </is>
      </c>
      <c r="K934" t="inlineStr">
        <is>
          <t>Maloney, George A., 1924-2005.</t>
        </is>
      </c>
      <c r="L934" t="inlineStr">
        <is>
          <t>Denville, New Jersey : Dimension Books, 1977.</t>
        </is>
      </c>
      <c r="M934" t="inlineStr">
        <is>
          <t>1977</t>
        </is>
      </c>
      <c r="O934" t="inlineStr">
        <is>
          <t>eng</t>
        </is>
      </c>
      <c r="P934" t="inlineStr">
        <is>
          <t xml:space="preserve">xx </t>
        </is>
      </c>
      <c r="R934" t="inlineStr">
        <is>
          <t xml:space="preserve">BV </t>
        </is>
      </c>
      <c r="S934" t="n">
        <v>3</v>
      </c>
      <c r="T934" t="n">
        <v>3</v>
      </c>
      <c r="U934" t="inlineStr">
        <is>
          <t>2005-09-30</t>
        </is>
      </c>
      <c r="V934" t="inlineStr">
        <is>
          <t>2005-09-30</t>
        </is>
      </c>
      <c r="W934" t="inlineStr">
        <is>
          <t>1992-03-19</t>
        </is>
      </c>
      <c r="X934" t="inlineStr">
        <is>
          <t>1992-03-19</t>
        </is>
      </c>
      <c r="Y934" t="n">
        <v>144</v>
      </c>
      <c r="Z934" t="n">
        <v>120</v>
      </c>
      <c r="AA934" t="n">
        <v>126</v>
      </c>
      <c r="AB934" t="n">
        <v>2</v>
      </c>
      <c r="AC934" t="n">
        <v>2</v>
      </c>
      <c r="AD934" t="n">
        <v>16</v>
      </c>
      <c r="AE934" t="n">
        <v>16</v>
      </c>
      <c r="AF934" t="n">
        <v>3</v>
      </c>
      <c r="AG934" t="n">
        <v>3</v>
      </c>
      <c r="AH934" t="n">
        <v>4</v>
      </c>
      <c r="AI934" t="n">
        <v>4</v>
      </c>
      <c r="AJ934" t="n">
        <v>13</v>
      </c>
      <c r="AK934" t="n">
        <v>13</v>
      </c>
      <c r="AL934" t="n">
        <v>0</v>
      </c>
      <c r="AM934" t="n">
        <v>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HYPERLINK("https://creighton-primo.hosted.exlibrisgroup.com/primo-explore/search?tab=default_tab&amp;search_scope=EVERYTHING&amp;vid=01CRU&amp;lang=en_US&amp;offset=0&amp;query=any,contains,991004500239702656","Catalog Record")</f>
        <v/>
      </c>
      <c r="AT934">
        <f>HYPERLINK("http://www.worldcat.org/oclc/3712049","WorldCat Record")</f>
        <v/>
      </c>
      <c r="AU934" t="inlineStr">
        <is>
          <t>11940708:eng</t>
        </is>
      </c>
      <c r="AV934" t="inlineStr">
        <is>
          <t>3712049</t>
        </is>
      </c>
      <c r="AW934" t="inlineStr">
        <is>
          <t>991004500239702656</t>
        </is>
      </c>
      <c r="AX934" t="inlineStr">
        <is>
          <t>991004500239702656</t>
        </is>
      </c>
      <c r="AY934" t="inlineStr">
        <is>
          <t>2263078320002656</t>
        </is>
      </c>
      <c r="AZ934" t="inlineStr">
        <is>
          <t>BOOK</t>
        </is>
      </c>
      <c r="BC934" t="inlineStr">
        <is>
          <t>32285001016319</t>
        </is>
      </c>
      <c r="BD934" t="inlineStr">
        <is>
          <t>893895064</t>
        </is>
      </c>
    </row>
    <row r="935">
      <c r="A935" t="inlineStr">
        <is>
          <t>No</t>
        </is>
      </c>
      <c r="B935" t="inlineStr">
        <is>
          <t>BV5091.C7 M57 1981</t>
        </is>
      </c>
      <c r="C935" t="inlineStr">
        <is>
          <t>0                      BV 5091000C  7                  M  57          1981</t>
        </is>
      </c>
      <c r="D935" t="inlineStr">
        <is>
          <t>A Mirror for simple souls / by an anonymous thirteenth-century French mystic ; [edited, translated, and adapted by Charles Crawford].</t>
        </is>
      </c>
      <c r="F935" t="inlineStr">
        <is>
          <t>No</t>
        </is>
      </c>
      <c r="G935" t="inlineStr">
        <is>
          <t>1</t>
        </is>
      </c>
      <c r="H935" t="inlineStr">
        <is>
          <t>No</t>
        </is>
      </c>
      <c r="I935" t="inlineStr">
        <is>
          <t>No</t>
        </is>
      </c>
      <c r="J935" t="inlineStr">
        <is>
          <t>0</t>
        </is>
      </c>
      <c r="L935" t="inlineStr">
        <is>
          <t>New York : Crossroad, 1981.</t>
        </is>
      </c>
      <c r="M935" t="inlineStr">
        <is>
          <t>1981</t>
        </is>
      </c>
      <c r="O935" t="inlineStr">
        <is>
          <t>eng</t>
        </is>
      </c>
      <c r="P935" t="inlineStr">
        <is>
          <t>nyu</t>
        </is>
      </c>
      <c r="Q935" t="inlineStr">
        <is>
          <t>Spiritual classics</t>
        </is>
      </c>
      <c r="R935" t="inlineStr">
        <is>
          <t xml:space="preserve">BV </t>
        </is>
      </c>
      <c r="S935" t="n">
        <v>4</v>
      </c>
      <c r="T935" t="n">
        <v>4</v>
      </c>
      <c r="U935" t="inlineStr">
        <is>
          <t>1999-05-22</t>
        </is>
      </c>
      <c r="V935" t="inlineStr">
        <is>
          <t>1999-05-22</t>
        </is>
      </c>
      <c r="W935" t="inlineStr">
        <is>
          <t>1992-03-19</t>
        </is>
      </c>
      <c r="X935" t="inlineStr">
        <is>
          <t>1992-03-19</t>
        </is>
      </c>
      <c r="Y935" t="n">
        <v>209</v>
      </c>
      <c r="Z935" t="n">
        <v>190</v>
      </c>
      <c r="AA935" t="n">
        <v>207</v>
      </c>
      <c r="AB935" t="n">
        <v>2</v>
      </c>
      <c r="AC935" t="n">
        <v>2</v>
      </c>
      <c r="AD935" t="n">
        <v>12</v>
      </c>
      <c r="AE935" t="n">
        <v>13</v>
      </c>
      <c r="AF935" t="n">
        <v>4</v>
      </c>
      <c r="AG935" t="n">
        <v>4</v>
      </c>
      <c r="AH935" t="n">
        <v>4</v>
      </c>
      <c r="AI935" t="n">
        <v>4</v>
      </c>
      <c r="AJ935" t="n">
        <v>9</v>
      </c>
      <c r="AK935" t="n">
        <v>10</v>
      </c>
      <c r="AL935" t="n">
        <v>1</v>
      </c>
      <c r="AM935" t="n">
        <v>1</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HYPERLINK("https://creighton-primo.hosted.exlibrisgroup.com/primo-explore/search?tab=default_tab&amp;search_scope=EVERYTHING&amp;vid=01CRU&amp;lang=en_US&amp;offset=0&amp;query=any,contains,991005221439702656","Catalog Record")</f>
        <v/>
      </c>
      <c r="AT935">
        <f>HYPERLINK("http://www.worldcat.org/oclc/8224537","WorldCat Record")</f>
        <v/>
      </c>
      <c r="AU935" t="inlineStr">
        <is>
          <t>1909197003:eng</t>
        </is>
      </c>
      <c r="AV935" t="inlineStr">
        <is>
          <t>8224537</t>
        </is>
      </c>
      <c r="AW935" t="inlineStr">
        <is>
          <t>991005221439702656</t>
        </is>
      </c>
      <c r="AX935" t="inlineStr">
        <is>
          <t>991005221439702656</t>
        </is>
      </c>
      <c r="AY935" t="inlineStr">
        <is>
          <t>2270198230002656</t>
        </is>
      </c>
      <c r="AZ935" t="inlineStr">
        <is>
          <t>BOOK</t>
        </is>
      </c>
      <c r="BB935" t="inlineStr">
        <is>
          <t>9780824500832</t>
        </is>
      </c>
      <c r="BC935" t="inlineStr">
        <is>
          <t>32285001016350</t>
        </is>
      </c>
      <c r="BD935" t="inlineStr">
        <is>
          <t>893613327</t>
        </is>
      </c>
    </row>
    <row r="936">
      <c r="A936" t="inlineStr">
        <is>
          <t>No</t>
        </is>
      </c>
      <c r="B936" t="inlineStr">
        <is>
          <t>BV5091.C7 N46 1982</t>
        </is>
      </c>
      <c r="C936" t="inlineStr">
        <is>
          <t>0                      BV 5091000C  7                  N  46          1982</t>
        </is>
      </c>
      <c r="D936" t="inlineStr">
        <is>
          <t>Contemplation / by Francis Kelly Nemeck and Marie Theresa Coombs.</t>
        </is>
      </c>
      <c r="F936" t="inlineStr">
        <is>
          <t>No</t>
        </is>
      </c>
      <c r="G936" t="inlineStr">
        <is>
          <t>1</t>
        </is>
      </c>
      <c r="H936" t="inlineStr">
        <is>
          <t>No</t>
        </is>
      </c>
      <c r="I936" t="inlineStr">
        <is>
          <t>No</t>
        </is>
      </c>
      <c r="J936" t="inlineStr">
        <is>
          <t>0</t>
        </is>
      </c>
      <c r="K936" t="inlineStr">
        <is>
          <t>Nemeck, Francis Kelly, 1936-2014.</t>
        </is>
      </c>
      <c r="L936" t="inlineStr">
        <is>
          <t>Wilmington, Del. : M. Glazier, 1982.</t>
        </is>
      </c>
      <c r="M936" t="inlineStr">
        <is>
          <t>1982</t>
        </is>
      </c>
      <c r="O936" t="inlineStr">
        <is>
          <t>eng</t>
        </is>
      </c>
      <c r="P936" t="inlineStr">
        <is>
          <t>deu</t>
        </is>
      </c>
      <c r="Q936" t="inlineStr">
        <is>
          <t>Ways of prayer ; v. 5</t>
        </is>
      </c>
      <c r="R936" t="inlineStr">
        <is>
          <t xml:space="preserve">BV </t>
        </is>
      </c>
      <c r="S936" t="n">
        <v>3</v>
      </c>
      <c r="T936" t="n">
        <v>3</v>
      </c>
      <c r="U936" t="inlineStr">
        <is>
          <t>2007-06-20</t>
        </is>
      </c>
      <c r="V936" t="inlineStr">
        <is>
          <t>2007-06-20</t>
        </is>
      </c>
      <c r="W936" t="inlineStr">
        <is>
          <t>1992-03-19</t>
        </is>
      </c>
      <c r="X936" t="inlineStr">
        <is>
          <t>1992-03-19</t>
        </is>
      </c>
      <c r="Y936" t="n">
        <v>130</v>
      </c>
      <c r="Z936" t="n">
        <v>111</v>
      </c>
      <c r="AA936" t="n">
        <v>150</v>
      </c>
      <c r="AB936" t="n">
        <v>2</v>
      </c>
      <c r="AC936" t="n">
        <v>2</v>
      </c>
      <c r="AD936" t="n">
        <v>17</v>
      </c>
      <c r="AE936" t="n">
        <v>19</v>
      </c>
      <c r="AF936" t="n">
        <v>4</v>
      </c>
      <c r="AG936" t="n">
        <v>5</v>
      </c>
      <c r="AH936" t="n">
        <v>4</v>
      </c>
      <c r="AI936" t="n">
        <v>4</v>
      </c>
      <c r="AJ936" t="n">
        <v>13</v>
      </c>
      <c r="AK936" t="n">
        <v>14</v>
      </c>
      <c r="AL936" t="n">
        <v>0</v>
      </c>
      <c r="AM936" t="n">
        <v>0</v>
      </c>
      <c r="AN936" t="n">
        <v>0</v>
      </c>
      <c r="AO936" t="n">
        <v>0</v>
      </c>
      <c r="AP936" t="inlineStr">
        <is>
          <t>No</t>
        </is>
      </c>
      <c r="AQ936" t="inlineStr">
        <is>
          <t>Yes</t>
        </is>
      </c>
      <c r="AR936">
        <f>HYPERLINK("http://catalog.hathitrust.org/Record/102582169","HathiTrust Record")</f>
        <v/>
      </c>
      <c r="AS936">
        <f>HYPERLINK("https://creighton-primo.hosted.exlibrisgroup.com/primo-explore/search?tab=default_tab&amp;search_scope=EVERYTHING&amp;vid=01CRU&amp;lang=en_US&amp;offset=0&amp;query=any,contains,991000177109702656","Catalog Record")</f>
        <v/>
      </c>
      <c r="AT936">
        <f>HYPERLINK("http://www.worldcat.org/oclc/9356416","WorldCat Record")</f>
        <v/>
      </c>
      <c r="AU936" t="inlineStr">
        <is>
          <t>3768830537:eng</t>
        </is>
      </c>
      <c r="AV936" t="inlineStr">
        <is>
          <t>9356416</t>
        </is>
      </c>
      <c r="AW936" t="inlineStr">
        <is>
          <t>991000177109702656</t>
        </is>
      </c>
      <c r="AX936" t="inlineStr">
        <is>
          <t>991000177109702656</t>
        </is>
      </c>
      <c r="AY936" t="inlineStr">
        <is>
          <t>2261667650002656</t>
        </is>
      </c>
      <c r="AZ936" t="inlineStr">
        <is>
          <t>BOOK</t>
        </is>
      </c>
      <c r="BB936" t="inlineStr">
        <is>
          <t>9780894532832</t>
        </is>
      </c>
      <c r="BC936" t="inlineStr">
        <is>
          <t>32285001016368</t>
        </is>
      </c>
      <c r="BD936" t="inlineStr">
        <is>
          <t>893695649</t>
        </is>
      </c>
    </row>
    <row r="937">
      <c r="A937" t="inlineStr">
        <is>
          <t>No</t>
        </is>
      </c>
      <c r="B937" t="inlineStr">
        <is>
          <t>BV5091.C7 R313 1974</t>
        </is>
      </c>
      <c r="C937" t="inlineStr">
        <is>
          <t>0                      BV 5091000C  7                  R  313         1974</t>
        </is>
      </c>
      <c r="D937" t="inlineStr">
        <is>
          <t>Paths to contemplation / by Yves Raguin ; translated by Paul Barrett.</t>
        </is>
      </c>
      <c r="F937" t="inlineStr">
        <is>
          <t>No</t>
        </is>
      </c>
      <c r="G937" t="inlineStr">
        <is>
          <t>1</t>
        </is>
      </c>
      <c r="H937" t="inlineStr">
        <is>
          <t>No</t>
        </is>
      </c>
      <c r="I937" t="inlineStr">
        <is>
          <t>No</t>
        </is>
      </c>
      <c r="J937" t="inlineStr">
        <is>
          <t>0</t>
        </is>
      </c>
      <c r="K937" t="inlineStr">
        <is>
          <t>Raguin, Yves, 1912-1998.</t>
        </is>
      </c>
      <c r="L937" t="inlineStr">
        <is>
          <t>St. Meinrad, Ind. : Abbey Press, 1974.</t>
        </is>
      </c>
      <c r="M937" t="inlineStr">
        <is>
          <t>1974</t>
        </is>
      </c>
      <c r="O937" t="inlineStr">
        <is>
          <t>eng</t>
        </is>
      </c>
      <c r="P937" t="inlineStr">
        <is>
          <t>inu</t>
        </is>
      </c>
      <c r="Q937" t="inlineStr">
        <is>
          <t>Religious experience series ; v. 6</t>
        </is>
      </c>
      <c r="R937" t="inlineStr">
        <is>
          <t xml:space="preserve">BV </t>
        </is>
      </c>
      <c r="S937" t="n">
        <v>1</v>
      </c>
      <c r="T937" t="n">
        <v>1</v>
      </c>
      <c r="U937" t="inlineStr">
        <is>
          <t>2004-06-25</t>
        </is>
      </c>
      <c r="V937" t="inlineStr">
        <is>
          <t>2004-06-25</t>
        </is>
      </c>
      <c r="W937" t="inlineStr">
        <is>
          <t>1992-03-20</t>
        </is>
      </c>
      <c r="X937" t="inlineStr">
        <is>
          <t>1992-03-20</t>
        </is>
      </c>
      <c r="Y937" t="n">
        <v>92</v>
      </c>
      <c r="Z937" t="n">
        <v>81</v>
      </c>
      <c r="AA937" t="n">
        <v>81</v>
      </c>
      <c r="AB937" t="n">
        <v>2</v>
      </c>
      <c r="AC937" t="n">
        <v>2</v>
      </c>
      <c r="AD937" t="n">
        <v>11</v>
      </c>
      <c r="AE937" t="n">
        <v>11</v>
      </c>
      <c r="AF937" t="n">
        <v>3</v>
      </c>
      <c r="AG937" t="n">
        <v>3</v>
      </c>
      <c r="AH937" t="n">
        <v>2</v>
      </c>
      <c r="AI937" t="n">
        <v>2</v>
      </c>
      <c r="AJ937" t="n">
        <v>10</v>
      </c>
      <c r="AK937" t="n">
        <v>10</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HYPERLINK("https://creighton-primo.hosted.exlibrisgroup.com/primo-explore/search?tab=default_tab&amp;search_scope=EVERYTHING&amp;vid=01CRU&amp;lang=en_US&amp;offset=0&amp;query=any,contains,991003552069702656","Catalog Record")</f>
        <v/>
      </c>
      <c r="AT937">
        <f>HYPERLINK("http://www.worldcat.org/oclc/1120037","WorldCat Record")</f>
        <v/>
      </c>
      <c r="AU937" t="inlineStr">
        <is>
          <t>9177556275:eng</t>
        </is>
      </c>
      <c r="AV937" t="inlineStr">
        <is>
          <t>1120037</t>
        </is>
      </c>
      <c r="AW937" t="inlineStr">
        <is>
          <t>991003552069702656</t>
        </is>
      </c>
      <c r="AX937" t="inlineStr">
        <is>
          <t>991003552069702656</t>
        </is>
      </c>
      <c r="AY937" t="inlineStr">
        <is>
          <t>2266522290002656</t>
        </is>
      </c>
      <c r="AZ937" t="inlineStr">
        <is>
          <t>BOOK</t>
        </is>
      </c>
      <c r="BB937" t="inlineStr">
        <is>
          <t>9780870290329</t>
        </is>
      </c>
      <c r="BC937" t="inlineStr">
        <is>
          <t>32285001016392</t>
        </is>
      </c>
      <c r="BD937" t="inlineStr">
        <is>
          <t>893592617</t>
        </is>
      </c>
    </row>
    <row r="938">
      <c r="A938" t="inlineStr">
        <is>
          <t>No</t>
        </is>
      </c>
      <c r="B938" t="inlineStr">
        <is>
          <t>BV5091.C7 S55 1975b</t>
        </is>
      </c>
      <c r="C938" t="inlineStr">
        <is>
          <t>0                      BV 5091000C  7                  S  55          1975b</t>
        </is>
      </c>
      <c r="D938" t="inlineStr">
        <is>
          <t>Exploration into contemplative prayer / Herbert Slade.</t>
        </is>
      </c>
      <c r="F938" t="inlineStr">
        <is>
          <t>No</t>
        </is>
      </c>
      <c r="G938" t="inlineStr">
        <is>
          <t>1</t>
        </is>
      </c>
      <c r="H938" t="inlineStr">
        <is>
          <t>No</t>
        </is>
      </c>
      <c r="I938" t="inlineStr">
        <is>
          <t>No</t>
        </is>
      </c>
      <c r="J938" t="inlineStr">
        <is>
          <t>0</t>
        </is>
      </c>
      <c r="K938" t="inlineStr">
        <is>
          <t>Slade, Herbert Edwin William.</t>
        </is>
      </c>
      <c r="L938" t="inlineStr">
        <is>
          <t>New York : Paulist Press, c1975.</t>
        </is>
      </c>
      <c r="M938" t="inlineStr">
        <is>
          <t>1975</t>
        </is>
      </c>
      <c r="O938" t="inlineStr">
        <is>
          <t>eng</t>
        </is>
      </c>
      <c r="P938" t="inlineStr">
        <is>
          <t>nyu</t>
        </is>
      </c>
      <c r="R938" t="inlineStr">
        <is>
          <t xml:space="preserve">BV </t>
        </is>
      </c>
      <c r="S938" t="n">
        <v>2</v>
      </c>
      <c r="T938" t="n">
        <v>2</v>
      </c>
      <c r="U938" t="inlineStr">
        <is>
          <t>1995-01-06</t>
        </is>
      </c>
      <c r="V938" t="inlineStr">
        <is>
          <t>1995-01-06</t>
        </is>
      </c>
      <c r="W938" t="inlineStr">
        <is>
          <t>1992-03-20</t>
        </is>
      </c>
      <c r="X938" t="inlineStr">
        <is>
          <t>1992-03-20</t>
        </is>
      </c>
      <c r="Y938" t="n">
        <v>116</v>
      </c>
      <c r="Z938" t="n">
        <v>105</v>
      </c>
      <c r="AA938" t="n">
        <v>127</v>
      </c>
      <c r="AB938" t="n">
        <v>2</v>
      </c>
      <c r="AC938" t="n">
        <v>2</v>
      </c>
      <c r="AD938" t="n">
        <v>12</v>
      </c>
      <c r="AE938" t="n">
        <v>13</v>
      </c>
      <c r="AF938" t="n">
        <v>3</v>
      </c>
      <c r="AG938" t="n">
        <v>3</v>
      </c>
      <c r="AH938" t="n">
        <v>4</v>
      </c>
      <c r="AI938" t="n">
        <v>5</v>
      </c>
      <c r="AJ938" t="n">
        <v>9</v>
      </c>
      <c r="AK938" t="n">
        <v>9</v>
      </c>
      <c r="AL938" t="n">
        <v>0</v>
      </c>
      <c r="AM938" t="n">
        <v>0</v>
      </c>
      <c r="AN938" t="n">
        <v>0</v>
      </c>
      <c r="AO938" t="n">
        <v>0</v>
      </c>
      <c r="AP938" t="inlineStr">
        <is>
          <t>No</t>
        </is>
      </c>
      <c r="AQ938" t="inlineStr">
        <is>
          <t>Yes</t>
        </is>
      </c>
      <c r="AR938">
        <f>HYPERLINK("http://catalog.hathitrust.org/Record/007049181","HathiTrust Record")</f>
        <v/>
      </c>
      <c r="AS938">
        <f>HYPERLINK("https://creighton-primo.hosted.exlibrisgroup.com/primo-explore/search?tab=default_tab&amp;search_scope=EVERYTHING&amp;vid=01CRU&amp;lang=en_US&amp;offset=0&amp;query=any,contains,991004012219702656","Catalog Record")</f>
        <v/>
      </c>
      <c r="AT938">
        <f>HYPERLINK("http://www.worldcat.org/oclc/2093846","WorldCat Record")</f>
        <v/>
      </c>
      <c r="AU938" t="inlineStr">
        <is>
          <t>2649723:eng</t>
        </is>
      </c>
      <c r="AV938" t="inlineStr">
        <is>
          <t>2093846</t>
        </is>
      </c>
      <c r="AW938" t="inlineStr">
        <is>
          <t>991004012219702656</t>
        </is>
      </c>
      <c r="AX938" t="inlineStr">
        <is>
          <t>991004012219702656</t>
        </is>
      </c>
      <c r="AY938" t="inlineStr">
        <is>
          <t>2270827880002656</t>
        </is>
      </c>
      <c r="AZ938" t="inlineStr">
        <is>
          <t>BOOK</t>
        </is>
      </c>
      <c r="BB938" t="inlineStr">
        <is>
          <t>9780809119042</t>
        </is>
      </c>
      <c r="BC938" t="inlineStr">
        <is>
          <t>32285001016434</t>
        </is>
      </c>
      <c r="BD938" t="inlineStr">
        <is>
          <t>893259208</t>
        </is>
      </c>
    </row>
    <row r="939">
      <c r="A939" t="inlineStr">
        <is>
          <t>No</t>
        </is>
      </c>
      <c r="B939" t="inlineStr">
        <is>
          <t>BV5091.C7 S64 1997</t>
        </is>
      </c>
      <c r="C939" t="inlineStr">
        <is>
          <t>0                      BV 5091000C  7                  S  64          1997</t>
        </is>
      </c>
      <c r="D939" t="inlineStr">
        <is>
          <t>The mystical sense of the Gospels : a handbook for contemplatives / James M. Somerville.</t>
        </is>
      </c>
      <c r="F939" t="inlineStr">
        <is>
          <t>No</t>
        </is>
      </c>
      <c r="G939" t="inlineStr">
        <is>
          <t>1</t>
        </is>
      </c>
      <c r="H939" t="inlineStr">
        <is>
          <t>No</t>
        </is>
      </c>
      <c r="I939" t="inlineStr">
        <is>
          <t>No</t>
        </is>
      </c>
      <c r="J939" t="inlineStr">
        <is>
          <t>0</t>
        </is>
      </c>
      <c r="K939" t="inlineStr">
        <is>
          <t>Somerville, James M.</t>
        </is>
      </c>
      <c r="L939" t="inlineStr">
        <is>
          <t>New York : Crossroad Pub. Co., 1997.</t>
        </is>
      </c>
      <c r="M939" t="inlineStr">
        <is>
          <t>1997</t>
        </is>
      </c>
      <c r="O939" t="inlineStr">
        <is>
          <t>eng</t>
        </is>
      </c>
      <c r="P939" t="inlineStr">
        <is>
          <t>nyu</t>
        </is>
      </c>
      <c r="R939" t="inlineStr">
        <is>
          <t xml:space="preserve">BV </t>
        </is>
      </c>
      <c r="S939" t="n">
        <v>7</v>
      </c>
      <c r="T939" t="n">
        <v>7</v>
      </c>
      <c r="U939" t="inlineStr">
        <is>
          <t>2001-08-30</t>
        </is>
      </c>
      <c r="V939" t="inlineStr">
        <is>
          <t>2001-08-30</t>
        </is>
      </c>
      <c r="W939" t="inlineStr">
        <is>
          <t>1998-08-18</t>
        </is>
      </c>
      <c r="X939" t="inlineStr">
        <is>
          <t>1998-08-18</t>
        </is>
      </c>
      <c r="Y939" t="n">
        <v>79</v>
      </c>
      <c r="Z939" t="n">
        <v>71</v>
      </c>
      <c r="AA939" t="n">
        <v>77</v>
      </c>
      <c r="AB939" t="n">
        <v>1</v>
      </c>
      <c r="AC939" t="n">
        <v>1</v>
      </c>
      <c r="AD939" t="n">
        <v>7</v>
      </c>
      <c r="AE939" t="n">
        <v>7</v>
      </c>
      <c r="AF939" t="n">
        <v>2</v>
      </c>
      <c r="AG939" t="n">
        <v>2</v>
      </c>
      <c r="AH939" t="n">
        <v>2</v>
      </c>
      <c r="AI939" t="n">
        <v>2</v>
      </c>
      <c r="AJ939" t="n">
        <v>5</v>
      </c>
      <c r="AK939" t="n">
        <v>5</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HYPERLINK("https://creighton-primo.hosted.exlibrisgroup.com/primo-explore/search?tab=default_tab&amp;search_scope=EVERYTHING&amp;vid=01CRU&amp;lang=en_US&amp;offset=0&amp;query=any,contains,991002836019702656","Catalog Record")</f>
        <v/>
      </c>
      <c r="AT939">
        <f>HYPERLINK("http://www.worldcat.org/oclc/37353830","WorldCat Record")</f>
        <v/>
      </c>
      <c r="AU939" t="inlineStr">
        <is>
          <t>4732302826:eng</t>
        </is>
      </c>
      <c r="AV939" t="inlineStr">
        <is>
          <t>37353830</t>
        </is>
      </c>
      <c r="AW939" t="inlineStr">
        <is>
          <t>991002836019702656</t>
        </is>
      </c>
      <c r="AX939" t="inlineStr">
        <is>
          <t>991002836019702656</t>
        </is>
      </c>
      <c r="AY939" t="inlineStr">
        <is>
          <t>2260545020002656</t>
        </is>
      </c>
      <c r="AZ939" t="inlineStr">
        <is>
          <t>BOOK</t>
        </is>
      </c>
      <c r="BB939" t="inlineStr">
        <is>
          <t>9780824517106</t>
        </is>
      </c>
      <c r="BC939" t="inlineStr">
        <is>
          <t>32285003453734</t>
        </is>
      </c>
      <c r="BD939" t="inlineStr">
        <is>
          <t>893251678</t>
        </is>
      </c>
    </row>
    <row r="940">
      <c r="A940" t="inlineStr">
        <is>
          <t>No</t>
        </is>
      </c>
      <c r="B940" t="inlineStr">
        <is>
          <t>BV5091.R4 V63 1963</t>
        </is>
      </c>
      <c r="C940" t="inlineStr">
        <is>
          <t>0                      BV 5091000R  4                  V  63          1963</t>
        </is>
      </c>
      <c r="D940" t="inlineStr">
        <is>
          <t>Visions, revelations and the church / by Laurent Volken. Translated by Edward Gallagher.</t>
        </is>
      </c>
      <c r="F940" t="inlineStr">
        <is>
          <t>No</t>
        </is>
      </c>
      <c r="G940" t="inlineStr">
        <is>
          <t>1</t>
        </is>
      </c>
      <c r="H940" t="inlineStr">
        <is>
          <t>No</t>
        </is>
      </c>
      <c r="I940" t="inlineStr">
        <is>
          <t>No</t>
        </is>
      </c>
      <c r="J940" t="inlineStr">
        <is>
          <t>0</t>
        </is>
      </c>
      <c r="K940" t="inlineStr">
        <is>
          <t>Volken, Laurenz.</t>
        </is>
      </c>
      <c r="L940" t="inlineStr">
        <is>
          <t>New York : P.J. Kenedy, [1963]</t>
        </is>
      </c>
      <c r="M940" t="inlineStr">
        <is>
          <t>1963</t>
        </is>
      </c>
      <c r="O940" t="inlineStr">
        <is>
          <t>eng</t>
        </is>
      </c>
      <c r="P940" t="inlineStr">
        <is>
          <t xml:space="preserve">xx </t>
        </is>
      </c>
      <c r="R940" t="inlineStr">
        <is>
          <t xml:space="preserve">BV </t>
        </is>
      </c>
      <c r="S940" t="n">
        <v>4</v>
      </c>
      <c r="T940" t="n">
        <v>4</v>
      </c>
      <c r="U940" t="inlineStr">
        <is>
          <t>2001-03-21</t>
        </is>
      </c>
      <c r="V940" t="inlineStr">
        <is>
          <t>2001-03-21</t>
        </is>
      </c>
      <c r="W940" t="inlineStr">
        <is>
          <t>1992-03-20</t>
        </is>
      </c>
      <c r="X940" t="inlineStr">
        <is>
          <t>1992-03-20</t>
        </is>
      </c>
      <c r="Y940" t="n">
        <v>126</v>
      </c>
      <c r="Z940" t="n">
        <v>112</v>
      </c>
      <c r="AA940" t="n">
        <v>113</v>
      </c>
      <c r="AB940" t="n">
        <v>2</v>
      </c>
      <c r="AC940" t="n">
        <v>2</v>
      </c>
      <c r="AD940" t="n">
        <v>18</v>
      </c>
      <c r="AE940" t="n">
        <v>18</v>
      </c>
      <c r="AF940" t="n">
        <v>4</v>
      </c>
      <c r="AG940" t="n">
        <v>4</v>
      </c>
      <c r="AH940" t="n">
        <v>4</v>
      </c>
      <c r="AI940" t="n">
        <v>4</v>
      </c>
      <c r="AJ940" t="n">
        <v>16</v>
      </c>
      <c r="AK940" t="n">
        <v>16</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HYPERLINK("https://creighton-primo.hosted.exlibrisgroup.com/primo-explore/search?tab=default_tab&amp;search_scope=EVERYTHING&amp;vid=01CRU&amp;lang=en_US&amp;offset=0&amp;query=any,contains,991003886259702656","Catalog Record")</f>
        <v/>
      </c>
      <c r="AT940">
        <f>HYPERLINK("http://www.worldcat.org/oclc/1738032","WorldCat Record")</f>
        <v/>
      </c>
      <c r="AU940" t="inlineStr">
        <is>
          <t>9167624297:eng</t>
        </is>
      </c>
      <c r="AV940" t="inlineStr">
        <is>
          <t>1738032</t>
        </is>
      </c>
      <c r="AW940" t="inlineStr">
        <is>
          <t>991003886259702656</t>
        </is>
      </c>
      <c r="AX940" t="inlineStr">
        <is>
          <t>991003886259702656</t>
        </is>
      </c>
      <c r="AY940" t="inlineStr">
        <is>
          <t>2271288740002656</t>
        </is>
      </c>
      <c r="AZ940" t="inlineStr">
        <is>
          <t>BOOK</t>
        </is>
      </c>
      <c r="BC940" t="inlineStr">
        <is>
          <t>32285001016459</t>
        </is>
      </c>
      <c r="BD940" t="inlineStr">
        <is>
          <t>893337089</t>
        </is>
      </c>
    </row>
    <row r="941">
      <c r="A941" t="inlineStr">
        <is>
          <t>No</t>
        </is>
      </c>
      <c r="B941" t="inlineStr">
        <is>
          <t>BV5091.V6 E67 2000</t>
        </is>
      </c>
      <c r="C941" t="inlineStr">
        <is>
          <t>0                      BV 5091000V  6                  E  67          2000</t>
        </is>
      </c>
      <c r="D941" t="inlineStr">
        <is>
          <t>Visions : the soul's path to the sacred / Eddie Ensley.</t>
        </is>
      </c>
      <c r="F941" t="inlineStr">
        <is>
          <t>No</t>
        </is>
      </c>
      <c r="G941" t="inlineStr">
        <is>
          <t>1</t>
        </is>
      </c>
      <c r="H941" t="inlineStr">
        <is>
          <t>No</t>
        </is>
      </c>
      <c r="I941" t="inlineStr">
        <is>
          <t>No</t>
        </is>
      </c>
      <c r="J941" t="inlineStr">
        <is>
          <t>0</t>
        </is>
      </c>
      <c r="K941" t="inlineStr">
        <is>
          <t>Ensley, Eddie.</t>
        </is>
      </c>
      <c r="L941" t="inlineStr">
        <is>
          <t>Chicago, Ill. : Loyola Press, c2000.</t>
        </is>
      </c>
      <c r="M941" t="inlineStr">
        <is>
          <t>2000</t>
        </is>
      </c>
      <c r="O941" t="inlineStr">
        <is>
          <t>eng</t>
        </is>
      </c>
      <c r="P941" t="inlineStr">
        <is>
          <t>ilu</t>
        </is>
      </c>
      <c r="R941" t="inlineStr">
        <is>
          <t xml:space="preserve">BV </t>
        </is>
      </c>
      <c r="S941" t="n">
        <v>2</v>
      </c>
      <c r="T941" t="n">
        <v>2</v>
      </c>
      <c r="U941" t="inlineStr">
        <is>
          <t>2002-04-11</t>
        </is>
      </c>
      <c r="V941" t="inlineStr">
        <is>
          <t>2002-04-11</t>
        </is>
      </c>
      <c r="W941" t="inlineStr">
        <is>
          <t>2001-08-20</t>
        </is>
      </c>
      <c r="X941" t="inlineStr">
        <is>
          <t>2001-08-20</t>
        </is>
      </c>
      <c r="Y941" t="n">
        <v>145</v>
      </c>
      <c r="Z941" t="n">
        <v>132</v>
      </c>
      <c r="AA941" t="n">
        <v>137</v>
      </c>
      <c r="AB941" t="n">
        <v>1</v>
      </c>
      <c r="AC941" t="n">
        <v>1</v>
      </c>
      <c r="AD941" t="n">
        <v>9</v>
      </c>
      <c r="AE941" t="n">
        <v>9</v>
      </c>
      <c r="AF941" t="n">
        <v>1</v>
      </c>
      <c r="AG941" t="n">
        <v>1</v>
      </c>
      <c r="AH941" t="n">
        <v>2</v>
      </c>
      <c r="AI941" t="n">
        <v>2</v>
      </c>
      <c r="AJ941" t="n">
        <v>7</v>
      </c>
      <c r="AK941" t="n">
        <v>7</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HYPERLINK("https://creighton-primo.hosted.exlibrisgroup.com/primo-explore/search?tab=default_tab&amp;search_scope=EVERYTHING&amp;vid=01CRU&amp;lang=en_US&amp;offset=0&amp;query=any,contains,991003576359702656","Catalog Record")</f>
        <v/>
      </c>
      <c r="AT941">
        <f>HYPERLINK("http://www.worldcat.org/oclc/43370491","WorldCat Record")</f>
        <v/>
      </c>
      <c r="AU941" t="inlineStr">
        <is>
          <t>45108197:eng</t>
        </is>
      </c>
      <c r="AV941" t="inlineStr">
        <is>
          <t>43370491</t>
        </is>
      </c>
      <c r="AW941" t="inlineStr">
        <is>
          <t>991003576359702656</t>
        </is>
      </c>
      <c r="AX941" t="inlineStr">
        <is>
          <t>991003576359702656</t>
        </is>
      </c>
      <c r="AY941" t="inlineStr">
        <is>
          <t>2261928410002656</t>
        </is>
      </c>
      <c r="AZ941" t="inlineStr">
        <is>
          <t>BOOK</t>
        </is>
      </c>
      <c r="BB941" t="inlineStr">
        <is>
          <t>9780829414271</t>
        </is>
      </c>
      <c r="BC941" t="inlineStr">
        <is>
          <t>32285004378419</t>
        </is>
      </c>
      <c r="BD941" t="inlineStr">
        <is>
          <t>893441445</t>
        </is>
      </c>
    </row>
    <row r="942">
      <c r="A942" t="inlineStr">
        <is>
          <t>No</t>
        </is>
      </c>
      <c r="B942" t="inlineStr">
        <is>
          <t>BV5091.V6 G33 1950</t>
        </is>
      </c>
      <c r="C942" t="inlineStr">
        <is>
          <t>0                      BV 5091000V  6                  G  33          1950</t>
        </is>
      </c>
      <c r="D942" t="inlineStr">
        <is>
          <t>Visions and revelations in the spiritual life / by Father Gabriel of St. Mary Magdalen. Translated by a Benedictine of Stanbrook Abbey.</t>
        </is>
      </c>
      <c r="F942" t="inlineStr">
        <is>
          <t>No</t>
        </is>
      </c>
      <c r="G942" t="inlineStr">
        <is>
          <t>1</t>
        </is>
      </c>
      <c r="H942" t="inlineStr">
        <is>
          <t>No</t>
        </is>
      </c>
      <c r="I942" t="inlineStr">
        <is>
          <t>No</t>
        </is>
      </c>
      <c r="J942" t="inlineStr">
        <is>
          <t>0</t>
        </is>
      </c>
      <c r="K942" t="inlineStr">
        <is>
          <t>Gabriele di Santa Maria Maddalena, Father.</t>
        </is>
      </c>
      <c r="L942" t="inlineStr">
        <is>
          <t>Westminster, Md. : Newman Press, 1950.</t>
        </is>
      </c>
      <c r="M942" t="inlineStr">
        <is>
          <t>1950</t>
        </is>
      </c>
      <c r="O942" t="inlineStr">
        <is>
          <t>eng</t>
        </is>
      </c>
      <c r="P942" t="inlineStr">
        <is>
          <t>___</t>
        </is>
      </c>
      <c r="R942" t="inlineStr">
        <is>
          <t xml:space="preserve">BV </t>
        </is>
      </c>
      <c r="S942" t="n">
        <v>2</v>
      </c>
      <c r="T942" t="n">
        <v>2</v>
      </c>
      <c r="U942" t="inlineStr">
        <is>
          <t>2002-04-11</t>
        </is>
      </c>
      <c r="V942" t="inlineStr">
        <is>
          <t>2002-04-11</t>
        </is>
      </c>
      <c r="W942" t="inlineStr">
        <is>
          <t>1990-08-02</t>
        </is>
      </c>
      <c r="X942" t="inlineStr">
        <is>
          <t>1990-08-02</t>
        </is>
      </c>
      <c r="Y942" t="n">
        <v>75</v>
      </c>
      <c r="Z942" t="n">
        <v>65</v>
      </c>
      <c r="AA942" t="n">
        <v>74</v>
      </c>
      <c r="AB942" t="n">
        <v>1</v>
      </c>
      <c r="AC942" t="n">
        <v>1</v>
      </c>
      <c r="AD942" t="n">
        <v>15</v>
      </c>
      <c r="AE942" t="n">
        <v>18</v>
      </c>
      <c r="AF942" t="n">
        <v>5</v>
      </c>
      <c r="AG942" t="n">
        <v>5</v>
      </c>
      <c r="AH942" t="n">
        <v>4</v>
      </c>
      <c r="AI942" t="n">
        <v>5</v>
      </c>
      <c r="AJ942" t="n">
        <v>12</v>
      </c>
      <c r="AK942" t="n">
        <v>15</v>
      </c>
      <c r="AL942" t="n">
        <v>0</v>
      </c>
      <c r="AM942" t="n">
        <v>0</v>
      </c>
      <c r="AN942" t="n">
        <v>0</v>
      </c>
      <c r="AO942" t="n">
        <v>0</v>
      </c>
      <c r="AP942" t="inlineStr">
        <is>
          <t>No</t>
        </is>
      </c>
      <c r="AQ942" t="inlineStr">
        <is>
          <t>Yes</t>
        </is>
      </c>
      <c r="AR942">
        <f>HYPERLINK("http://catalog.hathitrust.org/Record/005777437","HathiTrust Record")</f>
        <v/>
      </c>
      <c r="AS942">
        <f>HYPERLINK("https://creighton-primo.hosted.exlibrisgroup.com/primo-explore/search?tab=default_tab&amp;search_scope=EVERYTHING&amp;vid=01CRU&amp;lang=en_US&amp;offset=0&amp;query=any,contains,991003647959702656","Catalog Record")</f>
        <v/>
      </c>
      <c r="AT942">
        <f>HYPERLINK("http://www.worldcat.org/oclc/1250307","WorldCat Record")</f>
        <v/>
      </c>
      <c r="AU942" t="inlineStr">
        <is>
          <t>2161627:eng</t>
        </is>
      </c>
      <c r="AV942" t="inlineStr">
        <is>
          <t>1250307</t>
        </is>
      </c>
      <c r="AW942" t="inlineStr">
        <is>
          <t>991003647959702656</t>
        </is>
      </c>
      <c r="AX942" t="inlineStr">
        <is>
          <t>991003647959702656</t>
        </is>
      </c>
      <c r="AY942" t="inlineStr">
        <is>
          <t>2263226310002656</t>
        </is>
      </c>
      <c r="AZ942" t="inlineStr">
        <is>
          <t>BOOK</t>
        </is>
      </c>
      <c r="BC942" t="inlineStr">
        <is>
          <t>32285000263557</t>
        </is>
      </c>
      <c r="BD942" t="inlineStr">
        <is>
          <t>893806033</t>
        </is>
      </c>
    </row>
    <row r="943">
      <c r="A943" t="inlineStr">
        <is>
          <t>No</t>
        </is>
      </c>
      <c r="B943" t="inlineStr">
        <is>
          <t>BV5095.A1 H55 1967</t>
        </is>
      </c>
      <c r="C943" t="inlineStr">
        <is>
          <t>0                      BV 5095000A  1                  H  55          1967</t>
        </is>
      </c>
      <c r="D943" t="inlineStr">
        <is>
          <t>Three 14th century English mystics / by Phyllis Hodgson.</t>
        </is>
      </c>
      <c r="F943" t="inlineStr">
        <is>
          <t>No</t>
        </is>
      </c>
      <c r="G943" t="inlineStr">
        <is>
          <t>1</t>
        </is>
      </c>
      <c r="H943" t="inlineStr">
        <is>
          <t>No</t>
        </is>
      </c>
      <c r="I943" t="inlineStr">
        <is>
          <t>No</t>
        </is>
      </c>
      <c r="J943" t="inlineStr">
        <is>
          <t>0</t>
        </is>
      </c>
      <c r="K943" t="inlineStr">
        <is>
          <t>Hodgson, Phyllis.</t>
        </is>
      </c>
      <c r="L943" t="inlineStr">
        <is>
          <t>London, published for the British Council and the National Book League by Longmans, 1967.</t>
        </is>
      </c>
      <c r="M943" t="inlineStr">
        <is>
          <t>1967</t>
        </is>
      </c>
      <c r="N943" t="inlineStr">
        <is>
          <t>Rev. ed.</t>
        </is>
      </c>
      <c r="O943" t="inlineStr">
        <is>
          <t>eng</t>
        </is>
      </c>
      <c r="P943" t="inlineStr">
        <is>
          <t>enk</t>
        </is>
      </c>
      <c r="Q943" t="inlineStr">
        <is>
          <t>Bibliographical series of supplements to British book news on writers and their work ; no. 196</t>
        </is>
      </c>
      <c r="R943" t="inlineStr">
        <is>
          <t xml:space="preserve">BV </t>
        </is>
      </c>
      <c r="S943" t="n">
        <v>2</v>
      </c>
      <c r="T943" t="n">
        <v>2</v>
      </c>
      <c r="U943" t="inlineStr">
        <is>
          <t>2002-04-11</t>
        </is>
      </c>
      <c r="V943" t="inlineStr">
        <is>
          <t>2002-04-11</t>
        </is>
      </c>
      <c r="W943" t="inlineStr">
        <is>
          <t>1992-03-20</t>
        </is>
      </c>
      <c r="X943" t="inlineStr">
        <is>
          <t>1992-03-20</t>
        </is>
      </c>
      <c r="Y943" t="n">
        <v>569</v>
      </c>
      <c r="Z943" t="n">
        <v>464</v>
      </c>
      <c r="AA943" t="n">
        <v>477</v>
      </c>
      <c r="AB943" t="n">
        <v>4</v>
      </c>
      <c r="AC943" t="n">
        <v>4</v>
      </c>
      <c r="AD943" t="n">
        <v>30</v>
      </c>
      <c r="AE943" t="n">
        <v>31</v>
      </c>
      <c r="AF943" t="n">
        <v>11</v>
      </c>
      <c r="AG943" t="n">
        <v>12</v>
      </c>
      <c r="AH943" t="n">
        <v>7</v>
      </c>
      <c r="AI943" t="n">
        <v>7</v>
      </c>
      <c r="AJ943" t="n">
        <v>17</v>
      </c>
      <c r="AK943" t="n">
        <v>18</v>
      </c>
      <c r="AL943" t="n">
        <v>3</v>
      </c>
      <c r="AM943" t="n">
        <v>3</v>
      </c>
      <c r="AN943" t="n">
        <v>0</v>
      </c>
      <c r="AO943" t="n">
        <v>0</v>
      </c>
      <c r="AP943" t="inlineStr">
        <is>
          <t>No</t>
        </is>
      </c>
      <c r="AQ943" t="inlineStr">
        <is>
          <t>Yes</t>
        </is>
      </c>
      <c r="AR943">
        <f>HYPERLINK("http://catalog.hathitrust.org/Record/001401106","HathiTrust Record")</f>
        <v/>
      </c>
      <c r="AS943">
        <f>HYPERLINK("https://creighton-primo.hosted.exlibrisgroup.com/primo-explore/search?tab=default_tab&amp;search_scope=EVERYTHING&amp;vid=01CRU&amp;lang=en_US&amp;offset=0&amp;query=any,contains,991001034939702656","Catalog Record")</f>
        <v/>
      </c>
      <c r="AT943">
        <f>HYPERLINK("http://www.worldcat.org/oclc/175604","WorldCat Record")</f>
        <v/>
      </c>
      <c r="AU943" t="inlineStr">
        <is>
          <t>1308966:eng</t>
        </is>
      </c>
      <c r="AV943" t="inlineStr">
        <is>
          <t>175604</t>
        </is>
      </c>
      <c r="AW943" t="inlineStr">
        <is>
          <t>991001034939702656</t>
        </is>
      </c>
      <c r="AX943" t="inlineStr">
        <is>
          <t>991001034939702656</t>
        </is>
      </c>
      <c r="AY943" t="inlineStr">
        <is>
          <t>2265178490002656</t>
        </is>
      </c>
      <c r="AZ943" t="inlineStr">
        <is>
          <t>BOOK</t>
        </is>
      </c>
      <c r="BC943" t="inlineStr">
        <is>
          <t>32285001016475</t>
        </is>
      </c>
      <c r="BD943" t="inlineStr">
        <is>
          <t>893327817</t>
        </is>
      </c>
    </row>
    <row r="944">
      <c r="A944" t="inlineStr">
        <is>
          <t>No</t>
        </is>
      </c>
      <c r="B944" t="inlineStr">
        <is>
          <t>BV5095.E2 A3 1993</t>
        </is>
      </c>
      <c r="C944" t="inlineStr">
        <is>
          <t>0                      BV 5095000E  2                  A  3           1993</t>
        </is>
      </c>
      <c r="D944" t="inlineStr">
        <is>
          <t>Margaret Ebner, major works / translated and edited by Leonard P. Hindsley ; introduced by Margot Schmidt and Leonard P. Hindsley ; preface by Richard Woods.</t>
        </is>
      </c>
      <c r="F944" t="inlineStr">
        <is>
          <t>No</t>
        </is>
      </c>
      <c r="G944" t="inlineStr">
        <is>
          <t>1</t>
        </is>
      </c>
      <c r="H944" t="inlineStr">
        <is>
          <t>No</t>
        </is>
      </c>
      <c r="I944" t="inlineStr">
        <is>
          <t>No</t>
        </is>
      </c>
      <c r="J944" t="inlineStr">
        <is>
          <t>0</t>
        </is>
      </c>
      <c r="K944" t="inlineStr">
        <is>
          <t>Ebner, Margaret, approximately 1291-1351.</t>
        </is>
      </c>
      <c r="L944" t="inlineStr">
        <is>
          <t>New York : Paulist Press, c1993.</t>
        </is>
      </c>
      <c r="M944" t="inlineStr">
        <is>
          <t>1993</t>
        </is>
      </c>
      <c r="O944" t="inlineStr">
        <is>
          <t>eng</t>
        </is>
      </c>
      <c r="P944" t="inlineStr">
        <is>
          <t>nyu</t>
        </is>
      </c>
      <c r="Q944" t="inlineStr">
        <is>
          <t>The Classics of Western spirituality</t>
        </is>
      </c>
      <c r="R944" t="inlineStr">
        <is>
          <t xml:space="preserve">BV </t>
        </is>
      </c>
      <c r="S944" t="n">
        <v>4</v>
      </c>
      <c r="T944" t="n">
        <v>4</v>
      </c>
      <c r="U944" t="inlineStr">
        <is>
          <t>1997-06-10</t>
        </is>
      </c>
      <c r="V944" t="inlineStr">
        <is>
          <t>1997-06-10</t>
        </is>
      </c>
      <c r="W944" t="inlineStr">
        <is>
          <t>1993-07-20</t>
        </is>
      </c>
      <c r="X944" t="inlineStr">
        <is>
          <t>1993-07-20</t>
        </is>
      </c>
      <c r="Y944" t="n">
        <v>556</v>
      </c>
      <c r="Z944" t="n">
        <v>488</v>
      </c>
      <c r="AA944" t="n">
        <v>490</v>
      </c>
      <c r="AB944" t="n">
        <v>9</v>
      </c>
      <c r="AC944" t="n">
        <v>9</v>
      </c>
      <c r="AD944" t="n">
        <v>44</v>
      </c>
      <c r="AE944" t="n">
        <v>44</v>
      </c>
      <c r="AF944" t="n">
        <v>18</v>
      </c>
      <c r="AG944" t="n">
        <v>18</v>
      </c>
      <c r="AH944" t="n">
        <v>9</v>
      </c>
      <c r="AI944" t="n">
        <v>9</v>
      </c>
      <c r="AJ944" t="n">
        <v>22</v>
      </c>
      <c r="AK944" t="n">
        <v>22</v>
      </c>
      <c r="AL944" t="n">
        <v>6</v>
      </c>
      <c r="AM944" t="n">
        <v>6</v>
      </c>
      <c r="AN944" t="n">
        <v>0</v>
      </c>
      <c r="AO944" t="n">
        <v>0</v>
      </c>
      <c r="AP944" t="inlineStr">
        <is>
          <t>No</t>
        </is>
      </c>
      <c r="AQ944" t="inlineStr">
        <is>
          <t>Yes</t>
        </is>
      </c>
      <c r="AR944">
        <f>HYPERLINK("http://catalog.hathitrust.org/Record/002654962","HathiTrust Record")</f>
        <v/>
      </c>
      <c r="AS944">
        <f>HYPERLINK("https://creighton-primo.hosted.exlibrisgroup.com/primo-explore/search?tab=default_tab&amp;search_scope=EVERYTHING&amp;vid=01CRU&amp;lang=en_US&amp;offset=0&amp;query=any,contains,991002130269702656","Catalog Record")</f>
        <v/>
      </c>
      <c r="AT944">
        <f>HYPERLINK("http://www.worldcat.org/oclc/27267028","WorldCat Record")</f>
        <v/>
      </c>
      <c r="AU944" t="inlineStr">
        <is>
          <t>353056:eng</t>
        </is>
      </c>
      <c r="AV944" t="inlineStr">
        <is>
          <t>27267028</t>
        </is>
      </c>
      <c r="AW944" t="inlineStr">
        <is>
          <t>991002130269702656</t>
        </is>
      </c>
      <c r="AX944" t="inlineStr">
        <is>
          <t>991002130269702656</t>
        </is>
      </c>
      <c r="AY944" t="inlineStr">
        <is>
          <t>2269043700002656</t>
        </is>
      </c>
      <c r="AZ944" t="inlineStr">
        <is>
          <t>BOOK</t>
        </is>
      </c>
      <c r="BB944" t="inlineStr">
        <is>
          <t>9780809104628</t>
        </is>
      </c>
      <c r="BC944" t="inlineStr">
        <is>
          <t>32285001738714</t>
        </is>
      </c>
      <c r="BD944" t="inlineStr">
        <is>
          <t>893804246</t>
        </is>
      </c>
    </row>
    <row r="945">
      <c r="A945" t="inlineStr">
        <is>
          <t>No</t>
        </is>
      </c>
      <c r="B945" t="inlineStr">
        <is>
          <t>BV5095.E3 K44 1977</t>
        </is>
      </c>
      <c r="C945" t="inlineStr">
        <is>
          <t>0                      BV 5095000E  3                  K  44          1977</t>
        </is>
      </c>
      <c r="D945" t="inlineStr">
        <is>
          <t>Meister Eckhart on divine knowledge / C. F. Kelley.</t>
        </is>
      </c>
      <c r="F945" t="inlineStr">
        <is>
          <t>No</t>
        </is>
      </c>
      <c r="G945" t="inlineStr">
        <is>
          <t>1</t>
        </is>
      </c>
      <c r="H945" t="inlineStr">
        <is>
          <t>No</t>
        </is>
      </c>
      <c r="I945" t="inlineStr">
        <is>
          <t>No</t>
        </is>
      </c>
      <c r="J945" t="inlineStr">
        <is>
          <t>0</t>
        </is>
      </c>
      <c r="K945" t="inlineStr">
        <is>
          <t>Kelley, C. F. (Carl Franklin), 1914-</t>
        </is>
      </c>
      <c r="L945" t="inlineStr">
        <is>
          <t>New Haven : Yale University Press, 1977.</t>
        </is>
      </c>
      <c r="M945" t="inlineStr">
        <is>
          <t>1977</t>
        </is>
      </c>
      <c r="O945" t="inlineStr">
        <is>
          <t>eng</t>
        </is>
      </c>
      <c r="P945" t="inlineStr">
        <is>
          <t>ctu</t>
        </is>
      </c>
      <c r="R945" t="inlineStr">
        <is>
          <t xml:space="preserve">BV </t>
        </is>
      </c>
      <c r="S945" t="n">
        <v>9</v>
      </c>
      <c r="T945" t="n">
        <v>9</v>
      </c>
      <c r="U945" t="inlineStr">
        <is>
          <t>2010-11-13</t>
        </is>
      </c>
      <c r="V945" t="inlineStr">
        <is>
          <t>2010-11-13</t>
        </is>
      </c>
      <c r="W945" t="inlineStr">
        <is>
          <t>1992-03-20</t>
        </is>
      </c>
      <c r="X945" t="inlineStr">
        <is>
          <t>1992-03-20</t>
        </is>
      </c>
      <c r="Y945" t="n">
        <v>677</v>
      </c>
      <c r="Z945" t="n">
        <v>564</v>
      </c>
      <c r="AA945" t="n">
        <v>578</v>
      </c>
      <c r="AB945" t="n">
        <v>6</v>
      </c>
      <c r="AC945" t="n">
        <v>6</v>
      </c>
      <c r="AD945" t="n">
        <v>34</v>
      </c>
      <c r="AE945" t="n">
        <v>34</v>
      </c>
      <c r="AF945" t="n">
        <v>11</v>
      </c>
      <c r="AG945" t="n">
        <v>11</v>
      </c>
      <c r="AH945" t="n">
        <v>9</v>
      </c>
      <c r="AI945" t="n">
        <v>9</v>
      </c>
      <c r="AJ945" t="n">
        <v>19</v>
      </c>
      <c r="AK945" t="n">
        <v>19</v>
      </c>
      <c r="AL945" t="n">
        <v>4</v>
      </c>
      <c r="AM945" t="n">
        <v>4</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HYPERLINK("https://creighton-primo.hosted.exlibrisgroup.com/primo-explore/search?tab=default_tab&amp;search_scope=EVERYTHING&amp;vid=01CRU&amp;lang=en_US&amp;offset=0&amp;query=any,contains,991004270749702656","Catalog Record")</f>
        <v/>
      </c>
      <c r="AT945">
        <f>HYPERLINK("http://www.worldcat.org/oclc/2875685","WorldCat Record")</f>
        <v/>
      </c>
      <c r="AU945" t="inlineStr">
        <is>
          <t>6417624:eng</t>
        </is>
      </c>
      <c r="AV945" t="inlineStr">
        <is>
          <t>2875685</t>
        </is>
      </c>
      <c r="AW945" t="inlineStr">
        <is>
          <t>991004270749702656</t>
        </is>
      </c>
      <c r="AX945" t="inlineStr">
        <is>
          <t>991004270749702656</t>
        </is>
      </c>
      <c r="AY945" t="inlineStr">
        <is>
          <t>2259674500002656</t>
        </is>
      </c>
      <c r="AZ945" t="inlineStr">
        <is>
          <t>BOOK</t>
        </is>
      </c>
      <c r="BB945" t="inlineStr">
        <is>
          <t>9780300020984</t>
        </is>
      </c>
      <c r="BC945" t="inlineStr">
        <is>
          <t>32285001016509</t>
        </is>
      </c>
      <c r="BD945" t="inlineStr">
        <is>
          <t>893693732</t>
        </is>
      </c>
    </row>
    <row r="946">
      <c r="A946" t="inlineStr">
        <is>
          <t>No</t>
        </is>
      </c>
      <c r="B946" t="inlineStr">
        <is>
          <t>BV5095.J3 S3 1910</t>
        </is>
      </c>
      <c r="C946" t="inlineStr">
        <is>
          <t>0                      BV 5095000J  3                  S  3           1910</t>
        </is>
      </c>
      <c r="D946" t="inlineStr">
        <is>
          <t>A mediæval mystic : a short account of the life and writings of Blessed John Ruysbroeck, Canon Regular of Groenendael, A. D. 1293-1381 / by Dom Vincent Scully.</t>
        </is>
      </c>
      <c r="F946" t="inlineStr">
        <is>
          <t>No</t>
        </is>
      </c>
      <c r="G946" t="inlineStr">
        <is>
          <t>1</t>
        </is>
      </c>
      <c r="H946" t="inlineStr">
        <is>
          <t>No</t>
        </is>
      </c>
      <c r="I946" t="inlineStr">
        <is>
          <t>No</t>
        </is>
      </c>
      <c r="J946" t="inlineStr">
        <is>
          <t>0</t>
        </is>
      </c>
      <c r="K946" t="inlineStr">
        <is>
          <t>Scully, Vincent.</t>
        </is>
      </c>
      <c r="L946" t="inlineStr">
        <is>
          <t>London : T. Baker, 1910.</t>
        </is>
      </c>
      <c r="M946" t="inlineStr">
        <is>
          <t>1910</t>
        </is>
      </c>
      <c r="O946" t="inlineStr">
        <is>
          <t>eng</t>
        </is>
      </c>
      <c r="P946" t="inlineStr">
        <is>
          <t xml:space="preserve">xx </t>
        </is>
      </c>
      <c r="R946" t="inlineStr">
        <is>
          <t xml:space="preserve">BV </t>
        </is>
      </c>
      <c r="S946" t="n">
        <v>1</v>
      </c>
      <c r="T946" t="n">
        <v>1</v>
      </c>
      <c r="U946" t="inlineStr">
        <is>
          <t>1993-09-03</t>
        </is>
      </c>
      <c r="V946" t="inlineStr">
        <is>
          <t>1993-09-03</t>
        </is>
      </c>
      <c r="W946" t="inlineStr">
        <is>
          <t>1992-03-20</t>
        </is>
      </c>
      <c r="X946" t="inlineStr">
        <is>
          <t>1992-03-20</t>
        </is>
      </c>
      <c r="Y946" t="n">
        <v>56</v>
      </c>
      <c r="Z946" t="n">
        <v>44</v>
      </c>
      <c r="AA946" t="n">
        <v>128</v>
      </c>
      <c r="AB946" t="n">
        <v>1</v>
      </c>
      <c r="AC946" t="n">
        <v>2</v>
      </c>
      <c r="AD946" t="n">
        <v>9</v>
      </c>
      <c r="AE946" t="n">
        <v>16</v>
      </c>
      <c r="AF946" t="n">
        <v>2</v>
      </c>
      <c r="AG946" t="n">
        <v>3</v>
      </c>
      <c r="AH946" t="n">
        <v>3</v>
      </c>
      <c r="AI946" t="n">
        <v>4</v>
      </c>
      <c r="AJ946" t="n">
        <v>7</v>
      </c>
      <c r="AK946" t="n">
        <v>12</v>
      </c>
      <c r="AL946" t="n">
        <v>0</v>
      </c>
      <c r="AM946" t="n">
        <v>1</v>
      </c>
      <c r="AN946" t="n">
        <v>0</v>
      </c>
      <c r="AO946" t="n">
        <v>0</v>
      </c>
      <c r="AP946" t="inlineStr">
        <is>
          <t>Yes</t>
        </is>
      </c>
      <c r="AQ946" t="inlineStr">
        <is>
          <t>No</t>
        </is>
      </c>
      <c r="AR946">
        <f>HYPERLINK("http://catalog.hathitrust.org/Record/001914205","HathiTrust Record")</f>
        <v/>
      </c>
      <c r="AS946">
        <f>HYPERLINK("https://creighton-primo.hosted.exlibrisgroup.com/primo-explore/search?tab=default_tab&amp;search_scope=EVERYTHING&amp;vid=01CRU&amp;lang=en_US&amp;offset=0&amp;query=any,contains,991004148549702656","Catalog Record")</f>
        <v/>
      </c>
      <c r="AT946">
        <f>HYPERLINK("http://www.worldcat.org/oclc/2519236","WorldCat Record")</f>
        <v/>
      </c>
      <c r="AU946" t="inlineStr">
        <is>
          <t>423163372:eng</t>
        </is>
      </c>
      <c r="AV946" t="inlineStr">
        <is>
          <t>2519236</t>
        </is>
      </c>
      <c r="AW946" t="inlineStr">
        <is>
          <t>991004148549702656</t>
        </is>
      </c>
      <c r="AX946" t="inlineStr">
        <is>
          <t>991004148549702656</t>
        </is>
      </c>
      <c r="AY946" t="inlineStr">
        <is>
          <t>2255457700002656</t>
        </is>
      </c>
      <c r="AZ946" t="inlineStr">
        <is>
          <t>BOOK</t>
        </is>
      </c>
      <c r="BC946" t="inlineStr">
        <is>
          <t>32285001016558</t>
        </is>
      </c>
      <c r="BD946" t="inlineStr">
        <is>
          <t>893800645</t>
        </is>
      </c>
    </row>
    <row r="947">
      <c r="A947" t="inlineStr">
        <is>
          <t>No</t>
        </is>
      </c>
      <c r="B947" t="inlineStr">
        <is>
          <t>BV5095.J3 U53 1915</t>
        </is>
      </c>
      <c r="C947" t="inlineStr">
        <is>
          <t>0                      BV 5095000J  3                  U  53          1915</t>
        </is>
      </c>
      <c r="D947" t="inlineStr">
        <is>
          <t>Ruysbroeck / by Evelyn Underhill.</t>
        </is>
      </c>
      <c r="F947" t="inlineStr">
        <is>
          <t>No</t>
        </is>
      </c>
      <c r="G947" t="inlineStr">
        <is>
          <t>1</t>
        </is>
      </c>
      <c r="H947" t="inlineStr">
        <is>
          <t>No</t>
        </is>
      </c>
      <c r="I947" t="inlineStr">
        <is>
          <t>No</t>
        </is>
      </c>
      <c r="J947" t="inlineStr">
        <is>
          <t>0</t>
        </is>
      </c>
      <c r="K947" t="inlineStr">
        <is>
          <t>Underhill, Evelyn, 1875-1941.</t>
        </is>
      </c>
      <c r="L947" t="inlineStr">
        <is>
          <t>London : G. Bell, 1915.</t>
        </is>
      </c>
      <c r="M947" t="inlineStr">
        <is>
          <t>1915</t>
        </is>
      </c>
      <c r="O947" t="inlineStr">
        <is>
          <t>eng</t>
        </is>
      </c>
      <c r="P947" t="inlineStr">
        <is>
          <t>___</t>
        </is>
      </c>
      <c r="Q947" t="inlineStr">
        <is>
          <t>The Quest series</t>
        </is>
      </c>
      <c r="R947" t="inlineStr">
        <is>
          <t xml:space="preserve">BV </t>
        </is>
      </c>
      <c r="S947" t="n">
        <v>1</v>
      </c>
      <c r="T947" t="n">
        <v>1</v>
      </c>
      <c r="U947" t="inlineStr">
        <is>
          <t>1993-05-12</t>
        </is>
      </c>
      <c r="V947" t="inlineStr">
        <is>
          <t>1993-05-12</t>
        </is>
      </c>
      <c r="W947" t="inlineStr">
        <is>
          <t>1992-03-20</t>
        </is>
      </c>
      <c r="X947" t="inlineStr">
        <is>
          <t>1992-03-20</t>
        </is>
      </c>
      <c r="Y947" t="n">
        <v>139</v>
      </c>
      <c r="Z947" t="n">
        <v>114</v>
      </c>
      <c r="AA947" t="n">
        <v>221</v>
      </c>
      <c r="AB947" t="n">
        <v>1</v>
      </c>
      <c r="AC947" t="n">
        <v>2</v>
      </c>
      <c r="AD947" t="n">
        <v>9</v>
      </c>
      <c r="AE947" t="n">
        <v>14</v>
      </c>
      <c r="AF947" t="n">
        <v>1</v>
      </c>
      <c r="AG947" t="n">
        <v>3</v>
      </c>
      <c r="AH947" t="n">
        <v>3</v>
      </c>
      <c r="AI947" t="n">
        <v>4</v>
      </c>
      <c r="AJ947" t="n">
        <v>6</v>
      </c>
      <c r="AK947" t="n">
        <v>8</v>
      </c>
      <c r="AL947" t="n">
        <v>0</v>
      </c>
      <c r="AM947" t="n">
        <v>1</v>
      </c>
      <c r="AN947" t="n">
        <v>0</v>
      </c>
      <c r="AO947" t="n">
        <v>0</v>
      </c>
      <c r="AP947" t="inlineStr">
        <is>
          <t>Yes</t>
        </is>
      </c>
      <c r="AQ947" t="inlineStr">
        <is>
          <t>No</t>
        </is>
      </c>
      <c r="AR947">
        <f>HYPERLINK("http://catalog.hathitrust.org/Record/001914207","HathiTrust Record")</f>
        <v/>
      </c>
      <c r="AS947">
        <f>HYPERLINK("https://creighton-primo.hosted.exlibrisgroup.com/primo-explore/search?tab=default_tab&amp;search_scope=EVERYTHING&amp;vid=01CRU&amp;lang=en_US&amp;offset=0&amp;query=any,contains,991003618689702656","Catalog Record")</f>
        <v/>
      </c>
      <c r="AT947">
        <f>HYPERLINK("http://www.worldcat.org/oclc/1205495","WorldCat Record")</f>
        <v/>
      </c>
      <c r="AU947" t="inlineStr">
        <is>
          <t>2090166:eng</t>
        </is>
      </c>
      <c r="AV947" t="inlineStr">
        <is>
          <t>1205495</t>
        </is>
      </c>
      <c r="AW947" t="inlineStr">
        <is>
          <t>991003618689702656</t>
        </is>
      </c>
      <c r="AX947" t="inlineStr">
        <is>
          <t>991003618689702656</t>
        </is>
      </c>
      <c r="AY947" t="inlineStr">
        <is>
          <t>2272194210002656</t>
        </is>
      </c>
      <c r="AZ947" t="inlineStr">
        <is>
          <t>BOOK</t>
        </is>
      </c>
      <c r="BC947" t="inlineStr">
        <is>
          <t>32285001016566</t>
        </is>
      </c>
      <c r="BD947" t="inlineStr">
        <is>
          <t>893416579</t>
        </is>
      </c>
    </row>
    <row r="948">
      <c r="A948" t="inlineStr">
        <is>
          <t>No</t>
        </is>
      </c>
      <c r="B948" t="inlineStr">
        <is>
          <t>BV5095.J3 V36 2003</t>
        </is>
      </c>
      <c r="C948" t="inlineStr">
        <is>
          <t>0                      BV 5095000J  3                  V  36          2003</t>
        </is>
      </c>
      <c r="D948" t="inlineStr">
        <is>
          <t>Jan van Ruusbroec, mystical theologian of the Trinity / Rik Van Nieuwenhove.</t>
        </is>
      </c>
      <c r="F948" t="inlineStr">
        <is>
          <t>No</t>
        </is>
      </c>
      <c r="G948" t="inlineStr">
        <is>
          <t>1</t>
        </is>
      </c>
      <c r="H948" t="inlineStr">
        <is>
          <t>No</t>
        </is>
      </c>
      <c r="I948" t="inlineStr">
        <is>
          <t>No</t>
        </is>
      </c>
      <c r="J948" t="inlineStr">
        <is>
          <t>0</t>
        </is>
      </c>
      <c r="K948" t="inlineStr">
        <is>
          <t>Van Nieuwenhove, Rik, 1967-</t>
        </is>
      </c>
      <c r="L948" t="inlineStr">
        <is>
          <t>Notre Dame, Ind. : University of Notre Dame Press, c2003.</t>
        </is>
      </c>
      <c r="M948" t="inlineStr">
        <is>
          <t>2003</t>
        </is>
      </c>
      <c r="O948" t="inlineStr">
        <is>
          <t>eng</t>
        </is>
      </c>
      <c r="P948" t="inlineStr">
        <is>
          <t>inu</t>
        </is>
      </c>
      <c r="Q948" t="inlineStr">
        <is>
          <t>Studies in spirituality and theology</t>
        </is>
      </c>
      <c r="R948" t="inlineStr">
        <is>
          <t xml:space="preserve">BV </t>
        </is>
      </c>
      <c r="S948" t="n">
        <v>2</v>
      </c>
      <c r="T948" t="n">
        <v>2</v>
      </c>
      <c r="U948" t="inlineStr">
        <is>
          <t>2006-06-19</t>
        </is>
      </c>
      <c r="V948" t="inlineStr">
        <is>
          <t>2006-06-19</t>
        </is>
      </c>
      <c r="W948" t="inlineStr">
        <is>
          <t>2005-01-13</t>
        </is>
      </c>
      <c r="X948" t="inlineStr">
        <is>
          <t>2005-01-13</t>
        </is>
      </c>
      <c r="Y948" t="n">
        <v>277</v>
      </c>
      <c r="Z948" t="n">
        <v>227</v>
      </c>
      <c r="AA948" t="n">
        <v>231</v>
      </c>
      <c r="AB948" t="n">
        <v>2</v>
      </c>
      <c r="AC948" t="n">
        <v>2</v>
      </c>
      <c r="AD948" t="n">
        <v>23</v>
      </c>
      <c r="AE948" t="n">
        <v>23</v>
      </c>
      <c r="AF948" t="n">
        <v>9</v>
      </c>
      <c r="AG948" t="n">
        <v>9</v>
      </c>
      <c r="AH948" t="n">
        <v>6</v>
      </c>
      <c r="AI948" t="n">
        <v>6</v>
      </c>
      <c r="AJ948" t="n">
        <v>16</v>
      </c>
      <c r="AK948" t="n">
        <v>16</v>
      </c>
      <c r="AL948" t="n">
        <v>1</v>
      </c>
      <c r="AM948" t="n">
        <v>1</v>
      </c>
      <c r="AN948" t="n">
        <v>0</v>
      </c>
      <c r="AO948" t="n">
        <v>0</v>
      </c>
      <c r="AP948" t="inlineStr">
        <is>
          <t>No</t>
        </is>
      </c>
      <c r="AQ948" t="inlineStr">
        <is>
          <t>Yes</t>
        </is>
      </c>
      <c r="AR948">
        <f>HYPERLINK("http://catalog.hathitrust.org/Record/004320444","HathiTrust Record")</f>
        <v/>
      </c>
      <c r="AS948">
        <f>HYPERLINK("https://creighton-primo.hosted.exlibrisgroup.com/primo-explore/search?tab=default_tab&amp;search_scope=EVERYTHING&amp;vid=01CRU&amp;lang=en_US&amp;offset=0&amp;query=any,contains,991004432049702656","Catalog Record")</f>
        <v/>
      </c>
      <c r="AT948">
        <f>HYPERLINK("http://www.worldcat.org/oclc/50774320","WorldCat Record")</f>
        <v/>
      </c>
      <c r="AU948" t="inlineStr">
        <is>
          <t>669324:eng</t>
        </is>
      </c>
      <c r="AV948" t="inlineStr">
        <is>
          <t>50774320</t>
        </is>
      </c>
      <c r="AW948" t="inlineStr">
        <is>
          <t>991004432049702656</t>
        </is>
      </c>
      <c r="AX948" t="inlineStr">
        <is>
          <t>991004432049702656</t>
        </is>
      </c>
      <c r="AY948" t="inlineStr">
        <is>
          <t>2263642520002656</t>
        </is>
      </c>
      <c r="AZ948" t="inlineStr">
        <is>
          <t>BOOK</t>
        </is>
      </c>
      <c r="BB948" t="inlineStr">
        <is>
          <t>9780268032616</t>
        </is>
      </c>
      <c r="BC948" t="inlineStr">
        <is>
          <t>32285005020325</t>
        </is>
      </c>
      <c r="BD948" t="inlineStr">
        <is>
          <t>893446211</t>
        </is>
      </c>
    </row>
    <row r="949">
      <c r="A949" t="inlineStr">
        <is>
          <t>No</t>
        </is>
      </c>
      <c r="B949" t="inlineStr">
        <is>
          <t>BV5095.J3 V4213 1994</t>
        </is>
      </c>
      <c r="C949" t="inlineStr">
        <is>
          <t>0                      BV 5095000J  3                  V  4213        1994</t>
        </is>
      </c>
      <c r="D949" t="inlineStr">
        <is>
          <t>Ruusbroec and his mysticism / Paul Verdeyen ; translated by André Lefevere.</t>
        </is>
      </c>
      <c r="F949" t="inlineStr">
        <is>
          <t>No</t>
        </is>
      </c>
      <c r="G949" t="inlineStr">
        <is>
          <t>1</t>
        </is>
      </c>
      <c r="H949" t="inlineStr">
        <is>
          <t>No</t>
        </is>
      </c>
      <c r="I949" t="inlineStr">
        <is>
          <t>No</t>
        </is>
      </c>
      <c r="J949" t="inlineStr">
        <is>
          <t>0</t>
        </is>
      </c>
      <c r="K949" t="inlineStr">
        <is>
          <t>Verdeyen, Paul.</t>
        </is>
      </c>
      <c r="L949" t="inlineStr">
        <is>
          <t>Collegeville, Minn. : Liturgical Press, c1994.</t>
        </is>
      </c>
      <c r="M949" t="inlineStr">
        <is>
          <t>1994</t>
        </is>
      </c>
      <c r="O949" t="inlineStr">
        <is>
          <t>eng</t>
        </is>
      </c>
      <c r="P949" t="inlineStr">
        <is>
          <t>mnu</t>
        </is>
      </c>
      <c r="Q949" t="inlineStr">
        <is>
          <t>The way of the Christian mystics ; 11</t>
        </is>
      </c>
      <c r="R949" t="inlineStr">
        <is>
          <t xml:space="preserve">BV </t>
        </is>
      </c>
      <c r="S949" t="n">
        <v>3</v>
      </c>
      <c r="T949" t="n">
        <v>3</v>
      </c>
      <c r="U949" t="inlineStr">
        <is>
          <t>1998-02-23</t>
        </is>
      </c>
      <c r="V949" t="inlineStr">
        <is>
          <t>1998-02-23</t>
        </is>
      </c>
      <c r="W949" t="inlineStr">
        <is>
          <t>1997-10-21</t>
        </is>
      </c>
      <c r="X949" t="inlineStr">
        <is>
          <t>1997-10-21</t>
        </is>
      </c>
      <c r="Y949" t="n">
        <v>155</v>
      </c>
      <c r="Z949" t="n">
        <v>129</v>
      </c>
      <c r="AA949" t="n">
        <v>129</v>
      </c>
      <c r="AB949" t="n">
        <v>2</v>
      </c>
      <c r="AC949" t="n">
        <v>2</v>
      </c>
      <c r="AD949" t="n">
        <v>11</v>
      </c>
      <c r="AE949" t="n">
        <v>11</v>
      </c>
      <c r="AF949" t="n">
        <v>2</v>
      </c>
      <c r="AG949" t="n">
        <v>2</v>
      </c>
      <c r="AH949" t="n">
        <v>3</v>
      </c>
      <c r="AI949" t="n">
        <v>3</v>
      </c>
      <c r="AJ949" t="n">
        <v>6</v>
      </c>
      <c r="AK949" t="n">
        <v>6</v>
      </c>
      <c r="AL949" t="n">
        <v>0</v>
      </c>
      <c r="AM949" t="n">
        <v>0</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HYPERLINK("https://creighton-primo.hosted.exlibrisgroup.com/primo-explore/search?tab=default_tab&amp;search_scope=EVERYTHING&amp;vid=01CRU&amp;lang=en_US&amp;offset=0&amp;query=any,contains,991002286659702656","Catalog Record")</f>
        <v/>
      </c>
      <c r="AT949">
        <f>HYPERLINK("http://www.worldcat.org/oclc/29638264","WorldCat Record")</f>
        <v/>
      </c>
      <c r="AU949" t="inlineStr">
        <is>
          <t>24636219:eng</t>
        </is>
      </c>
      <c r="AV949" t="inlineStr">
        <is>
          <t>29638264</t>
        </is>
      </c>
      <c r="AW949" t="inlineStr">
        <is>
          <t>991002286659702656</t>
        </is>
      </c>
      <c r="AX949" t="inlineStr">
        <is>
          <t>991002286659702656</t>
        </is>
      </c>
      <c r="AY949" t="inlineStr">
        <is>
          <t>2271716360002656</t>
        </is>
      </c>
      <c r="AZ949" t="inlineStr">
        <is>
          <t>BOOK</t>
        </is>
      </c>
      <c r="BB949" t="inlineStr">
        <is>
          <t>9780814656280</t>
        </is>
      </c>
      <c r="BC949" t="inlineStr">
        <is>
          <t>32285003257200</t>
        </is>
      </c>
      <c r="BD949" t="inlineStr">
        <is>
          <t>893898572</t>
        </is>
      </c>
    </row>
    <row r="950">
      <c r="A950" t="inlineStr">
        <is>
          <t>No</t>
        </is>
      </c>
      <c r="B950" t="inlineStr">
        <is>
          <t>BV5095.M43 P66 2004</t>
        </is>
      </c>
      <c r="C950" t="inlineStr">
        <is>
          <t>0                      BV 5095000M  43                 P  66          2004</t>
        </is>
      </c>
      <c r="D950" t="inlineStr">
        <is>
          <t>Mechthild of Magdeburg and her book : gender and the making of textual authority / Sara S. Poor</t>
        </is>
      </c>
      <c r="F950" t="inlineStr">
        <is>
          <t>No</t>
        </is>
      </c>
      <c r="G950" t="inlineStr">
        <is>
          <t>1</t>
        </is>
      </c>
      <c r="H950" t="inlineStr">
        <is>
          <t>No</t>
        </is>
      </c>
      <c r="I950" t="inlineStr">
        <is>
          <t>No</t>
        </is>
      </c>
      <c r="J950" t="inlineStr">
        <is>
          <t>0</t>
        </is>
      </c>
      <c r="K950" t="inlineStr">
        <is>
          <t>Poor, Sara S.</t>
        </is>
      </c>
      <c r="L950" t="inlineStr">
        <is>
          <t>Philadelphia : University of Pennsylvania Press, c2004.</t>
        </is>
      </c>
      <c r="M950" t="inlineStr">
        <is>
          <t>2004</t>
        </is>
      </c>
      <c r="O950" t="inlineStr">
        <is>
          <t>eng</t>
        </is>
      </c>
      <c r="P950" t="inlineStr">
        <is>
          <t>pau</t>
        </is>
      </c>
      <c r="Q950" t="inlineStr">
        <is>
          <t>Middle Ages series</t>
        </is>
      </c>
      <c r="R950" t="inlineStr">
        <is>
          <t xml:space="preserve">BV </t>
        </is>
      </c>
      <c r="S950" t="n">
        <v>4</v>
      </c>
      <c r="T950" t="n">
        <v>4</v>
      </c>
      <c r="U950" t="inlineStr">
        <is>
          <t>2008-12-03</t>
        </is>
      </c>
      <c r="V950" t="inlineStr">
        <is>
          <t>2008-12-03</t>
        </is>
      </c>
      <c r="W950" t="inlineStr">
        <is>
          <t>2006-02-09</t>
        </is>
      </c>
      <c r="X950" t="inlineStr">
        <is>
          <t>2006-02-09</t>
        </is>
      </c>
      <c r="Y950" t="n">
        <v>309</v>
      </c>
      <c r="Z950" t="n">
        <v>234</v>
      </c>
      <c r="AA950" t="n">
        <v>700</v>
      </c>
      <c r="AB950" t="n">
        <v>2</v>
      </c>
      <c r="AC950" t="n">
        <v>6</v>
      </c>
      <c r="AD950" t="n">
        <v>13</v>
      </c>
      <c r="AE950" t="n">
        <v>34</v>
      </c>
      <c r="AF950" t="n">
        <v>4</v>
      </c>
      <c r="AG950" t="n">
        <v>13</v>
      </c>
      <c r="AH950" t="n">
        <v>5</v>
      </c>
      <c r="AI950" t="n">
        <v>8</v>
      </c>
      <c r="AJ950" t="n">
        <v>8</v>
      </c>
      <c r="AK950" t="n">
        <v>15</v>
      </c>
      <c r="AL950" t="n">
        <v>1</v>
      </c>
      <c r="AM950" t="n">
        <v>5</v>
      </c>
      <c r="AN950" t="n">
        <v>0</v>
      </c>
      <c r="AO950" t="n">
        <v>1</v>
      </c>
      <c r="AP950" t="inlineStr">
        <is>
          <t>No</t>
        </is>
      </c>
      <c r="AQ950" t="inlineStr">
        <is>
          <t>No</t>
        </is>
      </c>
      <c r="AS950">
        <f>HYPERLINK("https://creighton-primo.hosted.exlibrisgroup.com/primo-explore/search?tab=default_tab&amp;search_scope=EVERYTHING&amp;vid=01CRU&amp;lang=en_US&amp;offset=0&amp;query=any,contains,991004737619702656","Catalog Record")</f>
        <v/>
      </c>
      <c r="AT950">
        <f>HYPERLINK("http://www.worldcat.org/oclc/54692675","WorldCat Record")</f>
        <v/>
      </c>
      <c r="AU950" t="inlineStr">
        <is>
          <t>784443545:eng</t>
        </is>
      </c>
      <c r="AV950" t="inlineStr">
        <is>
          <t>54692675</t>
        </is>
      </c>
      <c r="AW950" t="inlineStr">
        <is>
          <t>991004737619702656</t>
        </is>
      </c>
      <c r="AX950" t="inlineStr">
        <is>
          <t>991004737619702656</t>
        </is>
      </c>
      <c r="AY950" t="inlineStr">
        <is>
          <t>2261507510002656</t>
        </is>
      </c>
      <c r="AZ950" t="inlineStr">
        <is>
          <t>BOOK</t>
        </is>
      </c>
      <c r="BB950" t="inlineStr">
        <is>
          <t>9780812238020</t>
        </is>
      </c>
      <c r="BC950" t="inlineStr">
        <is>
          <t>32285005166920</t>
        </is>
      </c>
      <c r="BD950" t="inlineStr">
        <is>
          <t>893532741</t>
        </is>
      </c>
    </row>
    <row r="951">
      <c r="A951" t="inlineStr">
        <is>
          <t>No</t>
        </is>
      </c>
      <c r="B951" t="inlineStr">
        <is>
          <t>BV5095.U5 A75 1976</t>
        </is>
      </c>
      <c r="C951" t="inlineStr">
        <is>
          <t>0                      BV 5095000U  5                  A  75          1976</t>
        </is>
      </c>
      <c r="D951" t="inlineStr">
        <is>
          <t>Evelyn Underhill, 1875-1941 : an introduction to her life and writings / by Christopher J. R. Armstrong.</t>
        </is>
      </c>
      <c r="F951" t="inlineStr">
        <is>
          <t>No</t>
        </is>
      </c>
      <c r="G951" t="inlineStr">
        <is>
          <t>1</t>
        </is>
      </c>
      <c r="H951" t="inlineStr">
        <is>
          <t>No</t>
        </is>
      </c>
      <c r="I951" t="inlineStr">
        <is>
          <t>No</t>
        </is>
      </c>
      <c r="J951" t="inlineStr">
        <is>
          <t>0</t>
        </is>
      </c>
      <c r="K951" t="inlineStr">
        <is>
          <t>Armstrong, Christopher J. R., 1935-</t>
        </is>
      </c>
      <c r="L951" t="inlineStr">
        <is>
          <t>Grand Rapids : Eerdmans, 1976, c1975.</t>
        </is>
      </c>
      <c r="M951" t="inlineStr">
        <is>
          <t>1976</t>
        </is>
      </c>
      <c r="O951" t="inlineStr">
        <is>
          <t>eng</t>
        </is>
      </c>
      <c r="P951" t="inlineStr">
        <is>
          <t>miu</t>
        </is>
      </c>
      <c r="R951" t="inlineStr">
        <is>
          <t xml:space="preserve">BV </t>
        </is>
      </c>
      <c r="S951" t="n">
        <v>2</v>
      </c>
      <c r="T951" t="n">
        <v>2</v>
      </c>
      <c r="U951" t="inlineStr">
        <is>
          <t>2010-09-26</t>
        </is>
      </c>
      <c r="V951" t="inlineStr">
        <is>
          <t>2010-09-26</t>
        </is>
      </c>
      <c r="W951" t="inlineStr">
        <is>
          <t>1992-03-20</t>
        </is>
      </c>
      <c r="X951" t="inlineStr">
        <is>
          <t>1992-03-20</t>
        </is>
      </c>
      <c r="Y951" t="n">
        <v>515</v>
      </c>
      <c r="Z951" t="n">
        <v>485</v>
      </c>
      <c r="AA951" t="n">
        <v>550</v>
      </c>
      <c r="AB951" t="n">
        <v>3</v>
      </c>
      <c r="AC951" t="n">
        <v>5</v>
      </c>
      <c r="AD951" t="n">
        <v>23</v>
      </c>
      <c r="AE951" t="n">
        <v>28</v>
      </c>
      <c r="AF951" t="n">
        <v>7</v>
      </c>
      <c r="AG951" t="n">
        <v>8</v>
      </c>
      <c r="AH951" t="n">
        <v>8</v>
      </c>
      <c r="AI951" t="n">
        <v>8</v>
      </c>
      <c r="AJ951" t="n">
        <v>12</v>
      </c>
      <c r="AK951" t="n">
        <v>14</v>
      </c>
      <c r="AL951" t="n">
        <v>2</v>
      </c>
      <c r="AM951" t="n">
        <v>4</v>
      </c>
      <c r="AN951" t="n">
        <v>0</v>
      </c>
      <c r="AO951" t="n">
        <v>0</v>
      </c>
      <c r="AP951" t="inlineStr">
        <is>
          <t>No</t>
        </is>
      </c>
      <c r="AQ951" t="inlineStr">
        <is>
          <t>Yes</t>
        </is>
      </c>
      <c r="AR951">
        <f>HYPERLINK("http://catalog.hathitrust.org/Record/000703368","HathiTrust Record")</f>
        <v/>
      </c>
      <c r="AS951">
        <f>HYPERLINK("https://creighton-primo.hosted.exlibrisgroup.com/primo-explore/search?tab=default_tab&amp;search_scope=EVERYTHING&amp;vid=01CRU&amp;lang=en_US&amp;offset=0&amp;query=any,contains,991003899219702656","Catalog Record")</f>
        <v/>
      </c>
      <c r="AT951">
        <f>HYPERLINK("http://www.worldcat.org/oclc/1818363","WorldCat Record")</f>
        <v/>
      </c>
      <c r="AU951" t="inlineStr">
        <is>
          <t>2634698:eng</t>
        </is>
      </c>
      <c r="AV951" t="inlineStr">
        <is>
          <t>1818363</t>
        </is>
      </c>
      <c r="AW951" t="inlineStr">
        <is>
          <t>991003899219702656</t>
        </is>
      </c>
      <c r="AX951" t="inlineStr">
        <is>
          <t>991003899219702656</t>
        </is>
      </c>
      <c r="AY951" t="inlineStr">
        <is>
          <t>2271306030002656</t>
        </is>
      </c>
      <c r="AZ951" t="inlineStr">
        <is>
          <t>BOOK</t>
        </is>
      </c>
      <c r="BB951" t="inlineStr">
        <is>
          <t>9780802834744</t>
        </is>
      </c>
      <c r="BC951" t="inlineStr">
        <is>
          <t>32285001016590</t>
        </is>
      </c>
      <c r="BD951" t="inlineStr">
        <is>
          <t>893881797</t>
        </is>
      </c>
    </row>
    <row r="952">
      <c r="A952" t="inlineStr">
        <is>
          <t>No</t>
        </is>
      </c>
      <c r="B952" t="inlineStr">
        <is>
          <t>BV55 .C53 1977</t>
        </is>
      </c>
      <c r="C952" t="inlineStr">
        <is>
          <t>0                      BV 0055000C  53          1977</t>
        </is>
      </c>
      <c r="D952" t="inlineStr">
        <is>
          <t>The cosmic elements of Christian passover / Anscar J. Chupungco.</t>
        </is>
      </c>
      <c r="F952" t="inlineStr">
        <is>
          <t>No</t>
        </is>
      </c>
      <c r="G952" t="inlineStr">
        <is>
          <t>1</t>
        </is>
      </c>
      <c r="H952" t="inlineStr">
        <is>
          <t>No</t>
        </is>
      </c>
      <c r="I952" t="inlineStr">
        <is>
          <t>No</t>
        </is>
      </c>
      <c r="J952" t="inlineStr">
        <is>
          <t>0</t>
        </is>
      </c>
      <c r="K952" t="inlineStr">
        <is>
          <t>Chupungco, Anscar J.</t>
        </is>
      </c>
      <c r="L952" t="inlineStr">
        <is>
          <t>Roma : Editrice anselmiana, 1977.</t>
        </is>
      </c>
      <c r="M952" t="inlineStr">
        <is>
          <t>1977</t>
        </is>
      </c>
      <c r="O952" t="inlineStr">
        <is>
          <t>eng</t>
        </is>
      </c>
      <c r="P952" t="inlineStr">
        <is>
          <t xml:space="preserve">it </t>
        </is>
      </c>
      <c r="Q952" t="inlineStr">
        <is>
          <t>Analecta liturgica ; 3</t>
        </is>
      </c>
      <c r="R952" t="inlineStr">
        <is>
          <t xml:space="preserve">BV </t>
        </is>
      </c>
      <c r="S952" t="n">
        <v>5</v>
      </c>
      <c r="T952" t="n">
        <v>5</v>
      </c>
      <c r="U952" t="inlineStr">
        <is>
          <t>1999-04-29</t>
        </is>
      </c>
      <c r="V952" t="inlineStr">
        <is>
          <t>1999-04-29</t>
        </is>
      </c>
      <c r="W952" t="inlineStr">
        <is>
          <t>1991-11-11</t>
        </is>
      </c>
      <c r="X952" t="inlineStr">
        <is>
          <t>1991-11-11</t>
        </is>
      </c>
      <c r="Y952" t="n">
        <v>102</v>
      </c>
      <c r="Z952" t="n">
        <v>69</v>
      </c>
      <c r="AA952" t="n">
        <v>69</v>
      </c>
      <c r="AB952" t="n">
        <v>1</v>
      </c>
      <c r="AC952" t="n">
        <v>1</v>
      </c>
      <c r="AD952" t="n">
        <v>7</v>
      </c>
      <c r="AE952" t="n">
        <v>7</v>
      </c>
      <c r="AF952" t="n">
        <v>0</v>
      </c>
      <c r="AG952" t="n">
        <v>0</v>
      </c>
      <c r="AH952" t="n">
        <v>3</v>
      </c>
      <c r="AI952" t="n">
        <v>3</v>
      </c>
      <c r="AJ952" t="n">
        <v>5</v>
      </c>
      <c r="AK952" t="n">
        <v>5</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HYPERLINK("https://creighton-primo.hosted.exlibrisgroup.com/primo-explore/search?tab=default_tab&amp;search_scope=EVERYTHING&amp;vid=01CRU&amp;lang=en_US&amp;offset=0&amp;query=any,contains,991004608019702656","Catalog Record")</f>
        <v/>
      </c>
      <c r="AT952">
        <f>HYPERLINK("http://www.worldcat.org/oclc/4196792","WorldCat Record")</f>
        <v/>
      </c>
      <c r="AU952" t="inlineStr">
        <is>
          <t>14618205:eng</t>
        </is>
      </c>
      <c r="AV952" t="inlineStr">
        <is>
          <t>4196792</t>
        </is>
      </c>
      <c r="AW952" t="inlineStr">
        <is>
          <t>991004608019702656</t>
        </is>
      </c>
      <c r="AX952" t="inlineStr">
        <is>
          <t>991004608019702656</t>
        </is>
      </c>
      <c r="AY952" t="inlineStr">
        <is>
          <t>2261576490002656</t>
        </is>
      </c>
      <c r="AZ952" t="inlineStr">
        <is>
          <t>BOOK</t>
        </is>
      </c>
      <c r="BC952" t="inlineStr">
        <is>
          <t>32285000835156</t>
        </is>
      </c>
      <c r="BD952" t="inlineStr">
        <is>
          <t>893417814</t>
        </is>
      </c>
    </row>
    <row r="953">
      <c r="A953" t="inlineStr">
        <is>
          <t>No</t>
        </is>
      </c>
      <c r="B953" t="inlineStr">
        <is>
          <t>BV55 .H313 1969</t>
        </is>
      </c>
      <c r="C953" t="inlineStr">
        <is>
          <t>0                      BV 0055000H  313         1969</t>
        </is>
      </c>
      <c r="D953" t="inlineStr">
        <is>
          <t>The paschal mystery : ancient liturgies and patristic texts / editor: A. Hamman. English editorial supervisor: Thomas Halton. [Translated by Thomas Halton]</t>
        </is>
      </c>
      <c r="F953" t="inlineStr">
        <is>
          <t>No</t>
        </is>
      </c>
      <c r="G953" t="inlineStr">
        <is>
          <t>1</t>
        </is>
      </c>
      <c r="H953" t="inlineStr">
        <is>
          <t>No</t>
        </is>
      </c>
      <c r="I953" t="inlineStr">
        <is>
          <t>No</t>
        </is>
      </c>
      <c r="J953" t="inlineStr">
        <is>
          <t>0</t>
        </is>
      </c>
      <c r="K953" t="inlineStr">
        <is>
          <t>Hamman, A.-G. (Adalbert-G.), 1910-2000, editor.</t>
        </is>
      </c>
      <c r="L953" t="inlineStr">
        <is>
          <t>Staten Island, N.Y. : Alba House, [1969]</t>
        </is>
      </c>
      <c r="M953" t="inlineStr">
        <is>
          <t>1969</t>
        </is>
      </c>
      <c r="O953" t="inlineStr">
        <is>
          <t>eng</t>
        </is>
      </c>
      <c r="P953" t="inlineStr">
        <is>
          <t>nyu</t>
        </is>
      </c>
      <c r="Q953" t="inlineStr">
        <is>
          <t>Alba patristic library ; 3</t>
        </is>
      </c>
      <c r="R953" t="inlineStr">
        <is>
          <t xml:space="preserve">BV </t>
        </is>
      </c>
      <c r="S953" t="n">
        <v>2</v>
      </c>
      <c r="T953" t="n">
        <v>2</v>
      </c>
      <c r="U953" t="inlineStr">
        <is>
          <t>2004-11-30</t>
        </is>
      </c>
      <c r="V953" t="inlineStr">
        <is>
          <t>2004-11-30</t>
        </is>
      </c>
      <c r="W953" t="inlineStr">
        <is>
          <t>1991-11-11</t>
        </is>
      </c>
      <c r="X953" t="inlineStr">
        <is>
          <t>1991-11-11</t>
        </is>
      </c>
      <c r="Y953" t="n">
        <v>234</v>
      </c>
      <c r="Z953" t="n">
        <v>201</v>
      </c>
      <c r="AA953" t="n">
        <v>212</v>
      </c>
      <c r="AB953" t="n">
        <v>3</v>
      </c>
      <c r="AC953" t="n">
        <v>4</v>
      </c>
      <c r="AD953" t="n">
        <v>30</v>
      </c>
      <c r="AE953" t="n">
        <v>31</v>
      </c>
      <c r="AF953" t="n">
        <v>9</v>
      </c>
      <c r="AG953" t="n">
        <v>9</v>
      </c>
      <c r="AH953" t="n">
        <v>9</v>
      </c>
      <c r="AI953" t="n">
        <v>9</v>
      </c>
      <c r="AJ953" t="n">
        <v>18</v>
      </c>
      <c r="AK953" t="n">
        <v>19</v>
      </c>
      <c r="AL953" t="n">
        <v>2</v>
      </c>
      <c r="AM953" t="n">
        <v>2</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HYPERLINK("https://creighton-primo.hosted.exlibrisgroup.com/primo-explore/search?tab=default_tab&amp;search_scope=EVERYTHING&amp;vid=01CRU&amp;lang=en_US&amp;offset=0&amp;query=any,contains,991000207399702656","Catalog Record")</f>
        <v/>
      </c>
      <c r="AT953">
        <f>HYPERLINK("http://www.worldcat.org/oclc/65630","WorldCat Record")</f>
        <v/>
      </c>
      <c r="AU953" t="inlineStr">
        <is>
          <t>4020843224:eng</t>
        </is>
      </c>
      <c r="AV953" t="inlineStr">
        <is>
          <t>65630</t>
        </is>
      </c>
      <c r="AW953" t="inlineStr">
        <is>
          <t>991000207399702656</t>
        </is>
      </c>
      <c r="AX953" t="inlineStr">
        <is>
          <t>991000207399702656</t>
        </is>
      </c>
      <c r="AY953" t="inlineStr">
        <is>
          <t>2259226710002656</t>
        </is>
      </c>
      <c r="AZ953" t="inlineStr">
        <is>
          <t>BOOK</t>
        </is>
      </c>
      <c r="BC953" t="inlineStr">
        <is>
          <t>32285000835172</t>
        </is>
      </c>
      <c r="BD953" t="inlineStr">
        <is>
          <t>893534093</t>
        </is>
      </c>
    </row>
    <row r="954">
      <c r="A954" t="inlineStr">
        <is>
          <t>No</t>
        </is>
      </c>
      <c r="B954" t="inlineStr">
        <is>
          <t>BV55 .M3 1988</t>
        </is>
      </c>
      <c r="C954" t="inlineStr">
        <is>
          <t>0                      BV 0055000M  3           1988</t>
        </is>
      </c>
      <c r="D954" t="inlineStr">
        <is>
          <t>Through Moses to Jesus : the way of the paschal mystery / Carlo M. Martini.</t>
        </is>
      </c>
      <c r="F954" t="inlineStr">
        <is>
          <t>No</t>
        </is>
      </c>
      <c r="G954" t="inlineStr">
        <is>
          <t>1</t>
        </is>
      </c>
      <c r="H954" t="inlineStr">
        <is>
          <t>No</t>
        </is>
      </c>
      <c r="I954" t="inlineStr">
        <is>
          <t>No</t>
        </is>
      </c>
      <c r="J954" t="inlineStr">
        <is>
          <t>0</t>
        </is>
      </c>
      <c r="K954" t="inlineStr">
        <is>
          <t>Martini, Carlo Maria, 1927-2012.</t>
        </is>
      </c>
      <c r="L954" t="inlineStr">
        <is>
          <t>Notre Dame, IN : Ave Maria Press, c1988.</t>
        </is>
      </c>
      <c r="M954" t="inlineStr">
        <is>
          <t>1988</t>
        </is>
      </c>
      <c r="O954" t="inlineStr">
        <is>
          <t>eng</t>
        </is>
      </c>
      <c r="P954" t="inlineStr">
        <is>
          <t>inu</t>
        </is>
      </c>
      <c r="R954" t="inlineStr">
        <is>
          <t xml:space="preserve">BV </t>
        </is>
      </c>
      <c r="S954" t="n">
        <v>7</v>
      </c>
      <c r="T954" t="n">
        <v>7</v>
      </c>
      <c r="U954" t="inlineStr">
        <is>
          <t>2006-10-05</t>
        </is>
      </c>
      <c r="V954" t="inlineStr">
        <is>
          <t>2006-10-05</t>
        </is>
      </c>
      <c r="W954" t="inlineStr">
        <is>
          <t>1991-11-11</t>
        </is>
      </c>
      <c r="X954" t="inlineStr">
        <is>
          <t>1991-11-11</t>
        </is>
      </c>
      <c r="Y954" t="n">
        <v>145</v>
      </c>
      <c r="Z954" t="n">
        <v>119</v>
      </c>
      <c r="AA954" t="n">
        <v>120</v>
      </c>
      <c r="AB954" t="n">
        <v>3</v>
      </c>
      <c r="AC954" t="n">
        <v>3</v>
      </c>
      <c r="AD954" t="n">
        <v>12</v>
      </c>
      <c r="AE954" t="n">
        <v>13</v>
      </c>
      <c r="AF954" t="n">
        <v>2</v>
      </c>
      <c r="AG954" t="n">
        <v>3</v>
      </c>
      <c r="AH954" t="n">
        <v>3</v>
      </c>
      <c r="AI954" t="n">
        <v>3</v>
      </c>
      <c r="AJ954" t="n">
        <v>9</v>
      </c>
      <c r="AK954" t="n">
        <v>10</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HYPERLINK("https://creighton-primo.hosted.exlibrisgroup.com/primo-explore/search?tab=default_tab&amp;search_scope=EVERYTHING&amp;vid=01CRU&amp;lang=en_US&amp;offset=0&amp;query=any,contains,991001247979702656","Catalog Record")</f>
        <v/>
      </c>
      <c r="AT954">
        <f>HYPERLINK("http://www.worldcat.org/oclc/17652157","WorldCat Record")</f>
        <v/>
      </c>
      <c r="AU954" t="inlineStr">
        <is>
          <t>3743912:eng</t>
        </is>
      </c>
      <c r="AV954" t="inlineStr">
        <is>
          <t>17652157</t>
        </is>
      </c>
      <c r="AW954" t="inlineStr">
        <is>
          <t>991001247979702656</t>
        </is>
      </c>
      <c r="AX954" t="inlineStr">
        <is>
          <t>991001247979702656</t>
        </is>
      </c>
      <c r="AY954" t="inlineStr">
        <is>
          <t>2270029840002656</t>
        </is>
      </c>
      <c r="AZ954" t="inlineStr">
        <is>
          <t>BOOK</t>
        </is>
      </c>
      <c r="BB954" t="inlineStr">
        <is>
          <t>9780877933755</t>
        </is>
      </c>
      <c r="BC954" t="inlineStr">
        <is>
          <t>32285000835180</t>
        </is>
      </c>
      <c r="BD954" t="inlineStr">
        <is>
          <t>893621200</t>
        </is>
      </c>
    </row>
    <row r="955">
      <c r="A955" t="inlineStr">
        <is>
          <t>No</t>
        </is>
      </c>
      <c r="B955" t="inlineStr">
        <is>
          <t>BV597 .M3</t>
        </is>
      </c>
      <c r="C955" t="inlineStr">
        <is>
          <t>0                      BV 0597000M  3</t>
        </is>
      </c>
      <c r="D955" t="inlineStr">
        <is>
          <t>The new Temple : the Church in the New Testament / by R.J. McKelvey.</t>
        </is>
      </c>
      <c r="F955" t="inlineStr">
        <is>
          <t>No</t>
        </is>
      </c>
      <c r="G955" t="inlineStr">
        <is>
          <t>1</t>
        </is>
      </c>
      <c r="H955" t="inlineStr">
        <is>
          <t>No</t>
        </is>
      </c>
      <c r="I955" t="inlineStr">
        <is>
          <t>No</t>
        </is>
      </c>
      <c r="J955" t="inlineStr">
        <is>
          <t>0</t>
        </is>
      </c>
      <c r="K955" t="inlineStr">
        <is>
          <t>McKelvey, R. J.</t>
        </is>
      </c>
      <c r="L955" t="inlineStr">
        <is>
          <t>London, Oxford U.P., 1969.</t>
        </is>
      </c>
      <c r="M955" t="inlineStr">
        <is>
          <t>1969</t>
        </is>
      </c>
      <c r="O955" t="inlineStr">
        <is>
          <t>eng</t>
        </is>
      </c>
      <c r="P955" t="inlineStr">
        <is>
          <t>enk</t>
        </is>
      </c>
      <c r="Q955" t="inlineStr">
        <is>
          <t>Oxford theological monographs</t>
        </is>
      </c>
      <c r="R955" t="inlineStr">
        <is>
          <t xml:space="preserve">BV </t>
        </is>
      </c>
      <c r="S955" t="n">
        <v>5</v>
      </c>
      <c r="T955" t="n">
        <v>5</v>
      </c>
      <c r="U955" t="inlineStr">
        <is>
          <t>1996-03-07</t>
        </is>
      </c>
      <c r="V955" t="inlineStr">
        <is>
          <t>1996-03-07</t>
        </is>
      </c>
      <c r="W955" t="inlineStr">
        <is>
          <t>1992-01-08</t>
        </is>
      </c>
      <c r="X955" t="inlineStr">
        <is>
          <t>1992-01-08</t>
        </is>
      </c>
      <c r="Y955" t="n">
        <v>395</v>
      </c>
      <c r="Z955" t="n">
        <v>288</v>
      </c>
      <c r="AA955" t="n">
        <v>291</v>
      </c>
      <c r="AB955" t="n">
        <v>3</v>
      </c>
      <c r="AC955" t="n">
        <v>3</v>
      </c>
      <c r="AD955" t="n">
        <v>20</v>
      </c>
      <c r="AE955" t="n">
        <v>20</v>
      </c>
      <c r="AF955" t="n">
        <v>5</v>
      </c>
      <c r="AG955" t="n">
        <v>5</v>
      </c>
      <c r="AH955" t="n">
        <v>7</v>
      </c>
      <c r="AI955" t="n">
        <v>7</v>
      </c>
      <c r="AJ955" t="n">
        <v>11</v>
      </c>
      <c r="AK955" t="n">
        <v>11</v>
      </c>
      <c r="AL955" t="n">
        <v>2</v>
      </c>
      <c r="AM955" t="n">
        <v>2</v>
      </c>
      <c r="AN955" t="n">
        <v>0</v>
      </c>
      <c r="AO955" t="n">
        <v>0</v>
      </c>
      <c r="AP955" t="inlineStr">
        <is>
          <t>No</t>
        </is>
      </c>
      <c r="AQ955" t="inlineStr">
        <is>
          <t>Yes</t>
        </is>
      </c>
      <c r="AR955">
        <f>HYPERLINK("http://catalog.hathitrust.org/Record/001931520","HathiTrust Record")</f>
        <v/>
      </c>
      <c r="AS955">
        <f>HYPERLINK("https://creighton-primo.hosted.exlibrisgroup.com/primo-explore/search?tab=default_tab&amp;search_scope=EVERYTHING&amp;vid=01CRU&amp;lang=en_US&amp;offset=0&amp;query=any,contains,991000015109702656","Catalog Record")</f>
        <v/>
      </c>
      <c r="AT955">
        <f>HYPERLINK("http://www.worldcat.org/oclc/16376","WorldCat Record")</f>
        <v/>
      </c>
      <c r="AU955" t="inlineStr">
        <is>
          <t>1139005:eng</t>
        </is>
      </c>
      <c r="AV955" t="inlineStr">
        <is>
          <t>16376</t>
        </is>
      </c>
      <c r="AW955" t="inlineStr">
        <is>
          <t>991000015109702656</t>
        </is>
      </c>
      <c r="AX955" t="inlineStr">
        <is>
          <t>991000015109702656</t>
        </is>
      </c>
      <c r="AY955" t="inlineStr">
        <is>
          <t>2271498750002656</t>
        </is>
      </c>
      <c r="AZ955" t="inlineStr">
        <is>
          <t>BOOK</t>
        </is>
      </c>
      <c r="BB955" t="inlineStr">
        <is>
          <t>9780198267034</t>
        </is>
      </c>
      <c r="BC955" t="inlineStr">
        <is>
          <t>32285000902600</t>
        </is>
      </c>
      <c r="BD955" t="inlineStr">
        <is>
          <t>893720543</t>
        </is>
      </c>
    </row>
    <row r="956">
      <c r="A956" t="inlineStr">
        <is>
          <t>No</t>
        </is>
      </c>
      <c r="B956" t="inlineStr">
        <is>
          <t>BV598 .B37</t>
        </is>
      </c>
      <c r="C956" t="inlineStr">
        <is>
          <t>0                      BV 0598000B  37</t>
        </is>
      </c>
      <c r="D956" t="inlineStr">
        <is>
          <t>La théologie de l'Église de saint Irénée au concile de Nicée / Gustave Bardy.</t>
        </is>
      </c>
      <c r="F956" t="inlineStr">
        <is>
          <t>No</t>
        </is>
      </c>
      <c r="G956" t="inlineStr">
        <is>
          <t>1</t>
        </is>
      </c>
      <c r="H956" t="inlineStr">
        <is>
          <t>No</t>
        </is>
      </c>
      <c r="I956" t="inlineStr">
        <is>
          <t>No</t>
        </is>
      </c>
      <c r="J956" t="inlineStr">
        <is>
          <t>0</t>
        </is>
      </c>
      <c r="K956" t="inlineStr">
        <is>
          <t>Bardy, Gustave, 1881-1955.</t>
        </is>
      </c>
      <c r="L956" t="inlineStr">
        <is>
          <t>Paris, Éditions du Cerf, 1947.</t>
        </is>
      </c>
      <c r="M956" t="inlineStr">
        <is>
          <t>1947</t>
        </is>
      </c>
      <c r="O956" t="inlineStr">
        <is>
          <t>fre</t>
        </is>
      </c>
      <c r="P956" t="inlineStr">
        <is>
          <t>___</t>
        </is>
      </c>
      <c r="Q956" t="inlineStr">
        <is>
          <t>Unam sanctam ; 14</t>
        </is>
      </c>
      <c r="R956" t="inlineStr">
        <is>
          <t xml:space="preserve">BV </t>
        </is>
      </c>
      <c r="S956" t="n">
        <v>0</v>
      </c>
      <c r="T956" t="n">
        <v>0</v>
      </c>
      <c r="U956" t="inlineStr">
        <is>
          <t>2003-04-04</t>
        </is>
      </c>
      <c r="V956" t="inlineStr">
        <is>
          <t>2003-04-04</t>
        </is>
      </c>
      <c r="W956" t="inlineStr">
        <is>
          <t>1992-01-08</t>
        </is>
      </c>
      <c r="X956" t="inlineStr">
        <is>
          <t>1992-01-08</t>
        </is>
      </c>
      <c r="Y956" t="n">
        <v>173</v>
      </c>
      <c r="Z956" t="n">
        <v>104</v>
      </c>
      <c r="AA956" t="n">
        <v>106</v>
      </c>
      <c r="AB956" t="n">
        <v>1</v>
      </c>
      <c r="AC956" t="n">
        <v>1</v>
      </c>
      <c r="AD956" t="n">
        <v>13</v>
      </c>
      <c r="AE956" t="n">
        <v>13</v>
      </c>
      <c r="AF956" t="n">
        <v>2</v>
      </c>
      <c r="AG956" t="n">
        <v>2</v>
      </c>
      <c r="AH956" t="n">
        <v>4</v>
      </c>
      <c r="AI956" t="n">
        <v>4</v>
      </c>
      <c r="AJ956" t="n">
        <v>9</v>
      </c>
      <c r="AK956" t="n">
        <v>9</v>
      </c>
      <c r="AL956" t="n">
        <v>0</v>
      </c>
      <c r="AM956" t="n">
        <v>0</v>
      </c>
      <c r="AN956" t="n">
        <v>0</v>
      </c>
      <c r="AO956" t="n">
        <v>0</v>
      </c>
      <c r="AP956" t="inlineStr">
        <is>
          <t>No</t>
        </is>
      </c>
      <c r="AQ956" t="inlineStr">
        <is>
          <t>Yes</t>
        </is>
      </c>
      <c r="AR956">
        <f>HYPERLINK("http://catalog.hathitrust.org/Record/007352376","HathiTrust Record")</f>
        <v/>
      </c>
      <c r="AS956">
        <f>HYPERLINK("https://creighton-primo.hosted.exlibrisgroup.com/primo-explore/search?tab=default_tab&amp;search_scope=EVERYTHING&amp;vid=01CRU&amp;lang=en_US&amp;offset=0&amp;query=any,contains,991003815129702656","Catalog Record")</f>
        <v/>
      </c>
      <c r="AT956">
        <f>HYPERLINK("http://www.worldcat.org/oclc/1546870","WorldCat Record")</f>
        <v/>
      </c>
      <c r="AU956" t="inlineStr">
        <is>
          <t>2293499813:fre</t>
        </is>
      </c>
      <c r="AV956" t="inlineStr">
        <is>
          <t>1546870</t>
        </is>
      </c>
      <c r="AW956" t="inlineStr">
        <is>
          <t>991003815129702656</t>
        </is>
      </c>
      <c r="AX956" t="inlineStr">
        <is>
          <t>991003815129702656</t>
        </is>
      </c>
      <c r="AY956" t="inlineStr">
        <is>
          <t>2271423360002656</t>
        </is>
      </c>
      <c r="AZ956" t="inlineStr">
        <is>
          <t>BOOK</t>
        </is>
      </c>
      <c r="BC956" t="inlineStr">
        <is>
          <t>32285000902642</t>
        </is>
      </c>
      <c r="BD956" t="inlineStr">
        <is>
          <t>893429252</t>
        </is>
      </c>
    </row>
    <row r="957">
      <c r="A957" t="inlineStr">
        <is>
          <t>No</t>
        </is>
      </c>
      <c r="B957" t="inlineStr">
        <is>
          <t>BV598 .B8 1963</t>
        </is>
      </c>
      <c r="C957" t="inlineStr">
        <is>
          <t>0                      BV 0598000B  8           1963</t>
        </is>
      </c>
      <c r="D957" t="inlineStr">
        <is>
          <t>The idea of the church / B.C. Butler.</t>
        </is>
      </c>
      <c r="F957" t="inlineStr">
        <is>
          <t>No</t>
        </is>
      </c>
      <c r="G957" t="inlineStr">
        <is>
          <t>1</t>
        </is>
      </c>
      <c r="H957" t="inlineStr">
        <is>
          <t>No</t>
        </is>
      </c>
      <c r="I957" t="inlineStr">
        <is>
          <t>No</t>
        </is>
      </c>
      <c r="J957" t="inlineStr">
        <is>
          <t>0</t>
        </is>
      </c>
      <c r="K957" t="inlineStr">
        <is>
          <t>Butler, B. C. (Basil Christopher)</t>
        </is>
      </c>
      <c r="L957" t="inlineStr">
        <is>
          <t>Baltimore, Helicon Press [1963, c1962]</t>
        </is>
      </c>
      <c r="M957" t="inlineStr">
        <is>
          <t>1963</t>
        </is>
      </c>
      <c r="O957" t="inlineStr">
        <is>
          <t>eng</t>
        </is>
      </c>
      <c r="P957" t="inlineStr">
        <is>
          <t>mdu</t>
        </is>
      </c>
      <c r="R957" t="inlineStr">
        <is>
          <t xml:space="preserve">BV </t>
        </is>
      </c>
      <c r="S957" t="n">
        <v>2</v>
      </c>
      <c r="T957" t="n">
        <v>2</v>
      </c>
      <c r="U957" t="inlineStr">
        <is>
          <t>1995-02-28</t>
        </is>
      </c>
      <c r="V957" t="inlineStr">
        <is>
          <t>1995-02-28</t>
        </is>
      </c>
      <c r="W957" t="inlineStr">
        <is>
          <t>1992-01-08</t>
        </is>
      </c>
      <c r="X957" t="inlineStr">
        <is>
          <t>1992-01-08</t>
        </is>
      </c>
      <c r="Y957" t="n">
        <v>228</v>
      </c>
      <c r="Z957" t="n">
        <v>210</v>
      </c>
      <c r="AA957" t="n">
        <v>282</v>
      </c>
      <c r="AB957" t="n">
        <v>2</v>
      </c>
      <c r="AC957" t="n">
        <v>2</v>
      </c>
      <c r="AD957" t="n">
        <v>25</v>
      </c>
      <c r="AE957" t="n">
        <v>30</v>
      </c>
      <c r="AF957" t="n">
        <v>9</v>
      </c>
      <c r="AG957" t="n">
        <v>10</v>
      </c>
      <c r="AH957" t="n">
        <v>7</v>
      </c>
      <c r="AI957" t="n">
        <v>7</v>
      </c>
      <c r="AJ957" t="n">
        <v>21</v>
      </c>
      <c r="AK957" t="n">
        <v>26</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HYPERLINK("https://creighton-primo.hosted.exlibrisgroup.com/primo-explore/search?tab=default_tab&amp;search_scope=EVERYTHING&amp;vid=01CRU&amp;lang=en_US&amp;offset=0&amp;query=any,contains,991003663599702656","Catalog Record")</f>
        <v/>
      </c>
      <c r="AT957">
        <f>HYPERLINK("http://www.worldcat.org/oclc/1275635","WorldCat Record")</f>
        <v/>
      </c>
      <c r="AU957" t="inlineStr">
        <is>
          <t>2203898:eng</t>
        </is>
      </c>
      <c r="AV957" t="inlineStr">
        <is>
          <t>1275635</t>
        </is>
      </c>
      <c r="AW957" t="inlineStr">
        <is>
          <t>991003663599702656</t>
        </is>
      </c>
      <c r="AX957" t="inlineStr">
        <is>
          <t>991003663599702656</t>
        </is>
      </c>
      <c r="AY957" t="inlineStr">
        <is>
          <t>2260171410002656</t>
        </is>
      </c>
      <c r="AZ957" t="inlineStr">
        <is>
          <t>BOOK</t>
        </is>
      </c>
      <c r="BC957" t="inlineStr">
        <is>
          <t>32285000902659</t>
        </is>
      </c>
      <c r="BD957" t="inlineStr">
        <is>
          <t>893324322</t>
        </is>
      </c>
    </row>
    <row r="958">
      <c r="A958" t="inlineStr">
        <is>
          <t>No</t>
        </is>
      </c>
      <c r="B958" t="inlineStr">
        <is>
          <t>BV598 .G72 1975</t>
        </is>
      </c>
      <c r="C958" t="inlineStr">
        <is>
          <t>0                      BV 0598000G  72          1975</t>
        </is>
      </c>
      <c r="D958" t="inlineStr">
        <is>
          <t>Where Peter is : a survey of ecclesiology / Edward J. Gratsch.</t>
        </is>
      </c>
      <c r="F958" t="inlineStr">
        <is>
          <t>No</t>
        </is>
      </c>
      <c r="G958" t="inlineStr">
        <is>
          <t>1</t>
        </is>
      </c>
      <c r="H958" t="inlineStr">
        <is>
          <t>No</t>
        </is>
      </c>
      <c r="I958" t="inlineStr">
        <is>
          <t>No</t>
        </is>
      </c>
      <c r="J958" t="inlineStr">
        <is>
          <t>0</t>
        </is>
      </c>
      <c r="K958" t="inlineStr">
        <is>
          <t>Gratsch, Edward J.</t>
        </is>
      </c>
      <c r="L958" t="inlineStr">
        <is>
          <t>New York : Alba House, [1975]</t>
        </is>
      </c>
      <c r="M958" t="inlineStr">
        <is>
          <t>1975</t>
        </is>
      </c>
      <c r="O958" t="inlineStr">
        <is>
          <t>eng</t>
        </is>
      </c>
      <c r="P958" t="inlineStr">
        <is>
          <t>nyu</t>
        </is>
      </c>
      <c r="R958" t="inlineStr">
        <is>
          <t xml:space="preserve">BV </t>
        </is>
      </c>
      <c r="S958" t="n">
        <v>1</v>
      </c>
      <c r="T958" t="n">
        <v>1</v>
      </c>
      <c r="U958" t="inlineStr">
        <is>
          <t>2004-03-26</t>
        </is>
      </c>
      <c r="V958" t="inlineStr">
        <is>
          <t>2004-03-26</t>
        </is>
      </c>
      <c r="W958" t="inlineStr">
        <is>
          <t>1992-01-09</t>
        </is>
      </c>
      <c r="X958" t="inlineStr">
        <is>
          <t>1992-01-09</t>
        </is>
      </c>
      <c r="Y958" t="n">
        <v>214</v>
      </c>
      <c r="Z958" t="n">
        <v>182</v>
      </c>
      <c r="AA958" t="n">
        <v>188</v>
      </c>
      <c r="AB958" t="n">
        <v>3</v>
      </c>
      <c r="AC958" t="n">
        <v>3</v>
      </c>
      <c r="AD958" t="n">
        <v>21</v>
      </c>
      <c r="AE958" t="n">
        <v>21</v>
      </c>
      <c r="AF958" t="n">
        <v>6</v>
      </c>
      <c r="AG958" t="n">
        <v>6</v>
      </c>
      <c r="AH958" t="n">
        <v>5</v>
      </c>
      <c r="AI958" t="n">
        <v>5</v>
      </c>
      <c r="AJ958" t="n">
        <v>17</v>
      </c>
      <c r="AK958" t="n">
        <v>17</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HYPERLINK("https://creighton-primo.hosted.exlibrisgroup.com/primo-explore/search?tab=default_tab&amp;search_scope=EVERYTHING&amp;vid=01CRU&amp;lang=en_US&amp;offset=0&amp;query=any,contains,991003597999702656","Catalog Record")</f>
        <v/>
      </c>
      <c r="AT958">
        <f>HYPERLINK("http://www.worldcat.org/oclc/1176115","WorldCat Record")</f>
        <v/>
      </c>
      <c r="AU958" t="inlineStr">
        <is>
          <t>2121936:eng</t>
        </is>
      </c>
      <c r="AV958" t="inlineStr">
        <is>
          <t>1176115</t>
        </is>
      </c>
      <c r="AW958" t="inlineStr">
        <is>
          <t>991003597999702656</t>
        </is>
      </c>
      <c r="AX958" t="inlineStr">
        <is>
          <t>991003597999702656</t>
        </is>
      </c>
      <c r="AY958" t="inlineStr">
        <is>
          <t>2271768340002656</t>
        </is>
      </c>
      <c r="AZ958" t="inlineStr">
        <is>
          <t>BOOK</t>
        </is>
      </c>
      <c r="BB958" t="inlineStr">
        <is>
          <t>9780818903021</t>
        </is>
      </c>
      <c r="BC958" t="inlineStr">
        <is>
          <t>32285000902691</t>
        </is>
      </c>
      <c r="BD958" t="inlineStr">
        <is>
          <t>893793786</t>
        </is>
      </c>
    </row>
    <row r="959">
      <c r="A959" t="inlineStr">
        <is>
          <t>No</t>
        </is>
      </c>
      <c r="B959" t="inlineStr">
        <is>
          <t>BV598 .K425 1995</t>
        </is>
      </c>
      <c r="C959" t="inlineStr">
        <is>
          <t>0                      BV 0598000K  425         1995</t>
        </is>
      </c>
      <c r="D959" t="inlineStr">
        <is>
          <t>Who are the people of God? : early Christian models of community / Howard Clark Kee.</t>
        </is>
      </c>
      <c r="F959" t="inlineStr">
        <is>
          <t>No</t>
        </is>
      </c>
      <c r="G959" t="inlineStr">
        <is>
          <t>1</t>
        </is>
      </c>
      <c r="H959" t="inlineStr">
        <is>
          <t>No</t>
        </is>
      </c>
      <c r="I959" t="inlineStr">
        <is>
          <t>No</t>
        </is>
      </c>
      <c r="J959" t="inlineStr">
        <is>
          <t>0</t>
        </is>
      </c>
      <c r="K959" t="inlineStr">
        <is>
          <t>Kee, Howard Clark.</t>
        </is>
      </c>
      <c r="L959" t="inlineStr">
        <is>
          <t>New Haven : Yale University Press, c1995.</t>
        </is>
      </c>
      <c r="M959" t="inlineStr">
        <is>
          <t>1995</t>
        </is>
      </c>
      <c r="O959" t="inlineStr">
        <is>
          <t>eng</t>
        </is>
      </c>
      <c r="P959" t="inlineStr">
        <is>
          <t>ctu</t>
        </is>
      </c>
      <c r="R959" t="inlineStr">
        <is>
          <t xml:space="preserve">BV </t>
        </is>
      </c>
      <c r="S959" t="n">
        <v>6</v>
      </c>
      <c r="T959" t="n">
        <v>6</v>
      </c>
      <c r="U959" t="inlineStr">
        <is>
          <t>2007-05-29</t>
        </is>
      </c>
      <c r="V959" t="inlineStr">
        <is>
          <t>2007-05-29</t>
        </is>
      </c>
      <c r="W959" t="inlineStr">
        <is>
          <t>1995-12-27</t>
        </is>
      </c>
      <c r="X959" t="inlineStr">
        <is>
          <t>1995-12-27</t>
        </is>
      </c>
      <c r="Y959" t="n">
        <v>635</v>
      </c>
      <c r="Z959" t="n">
        <v>516</v>
      </c>
      <c r="AA959" t="n">
        <v>686</v>
      </c>
      <c r="AB959" t="n">
        <v>5</v>
      </c>
      <c r="AC959" t="n">
        <v>5</v>
      </c>
      <c r="AD959" t="n">
        <v>39</v>
      </c>
      <c r="AE959" t="n">
        <v>42</v>
      </c>
      <c r="AF959" t="n">
        <v>17</v>
      </c>
      <c r="AG959" t="n">
        <v>19</v>
      </c>
      <c r="AH959" t="n">
        <v>9</v>
      </c>
      <c r="AI959" t="n">
        <v>11</v>
      </c>
      <c r="AJ959" t="n">
        <v>21</v>
      </c>
      <c r="AK959" t="n">
        <v>22</v>
      </c>
      <c r="AL959" t="n">
        <v>4</v>
      </c>
      <c r="AM959" t="n">
        <v>4</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HYPERLINK("https://creighton-primo.hosted.exlibrisgroup.com/primo-explore/search?tab=default_tab&amp;search_scope=EVERYTHING&amp;vid=01CRU&amp;lang=en_US&amp;offset=0&amp;query=any,contains,991002341179702656","Catalog Record")</f>
        <v/>
      </c>
      <c r="AT959">
        <f>HYPERLINK("http://www.worldcat.org/oclc/30475886","WorldCat Record")</f>
        <v/>
      </c>
      <c r="AU959" t="inlineStr">
        <is>
          <t>792368899:eng</t>
        </is>
      </c>
      <c r="AV959" t="inlineStr">
        <is>
          <t>30475886</t>
        </is>
      </c>
      <c r="AW959" t="inlineStr">
        <is>
          <t>991002341179702656</t>
        </is>
      </c>
      <c r="AX959" t="inlineStr">
        <is>
          <t>991002341179702656</t>
        </is>
      </c>
      <c r="AY959" t="inlineStr">
        <is>
          <t>2263537830002656</t>
        </is>
      </c>
      <c r="AZ959" t="inlineStr">
        <is>
          <t>BOOK</t>
        </is>
      </c>
      <c r="BB959" t="inlineStr">
        <is>
          <t>9780300059526</t>
        </is>
      </c>
      <c r="BC959" t="inlineStr">
        <is>
          <t>32285002112349</t>
        </is>
      </c>
      <c r="BD959" t="inlineStr">
        <is>
          <t>893685246</t>
        </is>
      </c>
    </row>
    <row r="960">
      <c r="A960" t="inlineStr">
        <is>
          <t>No</t>
        </is>
      </c>
      <c r="B960" t="inlineStr">
        <is>
          <t>BV598 .M6</t>
        </is>
      </c>
      <c r="C960" t="inlineStr">
        <is>
          <t>0                      BV 0598000M  6</t>
        </is>
      </c>
      <c r="D960" t="inlineStr">
        <is>
          <t>Paul Tillich's theology of the church : a Catholic appraisal / Ronald Modras ; with a foreword by Hans Küng.</t>
        </is>
      </c>
      <c r="F960" t="inlineStr">
        <is>
          <t>No</t>
        </is>
      </c>
      <c r="G960" t="inlineStr">
        <is>
          <t>1</t>
        </is>
      </c>
      <c r="H960" t="inlineStr">
        <is>
          <t>No</t>
        </is>
      </c>
      <c r="I960" t="inlineStr">
        <is>
          <t>No</t>
        </is>
      </c>
      <c r="J960" t="inlineStr">
        <is>
          <t>0</t>
        </is>
      </c>
      <c r="K960" t="inlineStr">
        <is>
          <t>Modras, Ronald E.</t>
        </is>
      </c>
      <c r="L960" t="inlineStr">
        <is>
          <t>Detroit : Wayne State University Press, 1976.</t>
        </is>
      </c>
      <c r="M960" t="inlineStr">
        <is>
          <t>1976</t>
        </is>
      </c>
      <c r="O960" t="inlineStr">
        <is>
          <t>eng</t>
        </is>
      </c>
      <c r="P960" t="inlineStr">
        <is>
          <t>miu</t>
        </is>
      </c>
      <c r="R960" t="inlineStr">
        <is>
          <t xml:space="preserve">BV </t>
        </is>
      </c>
      <c r="S960" t="n">
        <v>1</v>
      </c>
      <c r="T960" t="n">
        <v>1</v>
      </c>
      <c r="U960" t="inlineStr">
        <is>
          <t>2004-04-29</t>
        </is>
      </c>
      <c r="V960" t="inlineStr">
        <is>
          <t>2004-04-29</t>
        </is>
      </c>
      <c r="W960" t="inlineStr">
        <is>
          <t>1992-01-09</t>
        </is>
      </c>
      <c r="X960" t="inlineStr">
        <is>
          <t>1992-01-09</t>
        </is>
      </c>
      <c r="Y960" t="n">
        <v>544</v>
      </c>
      <c r="Z960" t="n">
        <v>457</v>
      </c>
      <c r="AA960" t="n">
        <v>462</v>
      </c>
      <c r="AB960" t="n">
        <v>3</v>
      </c>
      <c r="AC960" t="n">
        <v>3</v>
      </c>
      <c r="AD960" t="n">
        <v>34</v>
      </c>
      <c r="AE960" t="n">
        <v>34</v>
      </c>
      <c r="AF960" t="n">
        <v>13</v>
      </c>
      <c r="AG960" t="n">
        <v>13</v>
      </c>
      <c r="AH960" t="n">
        <v>9</v>
      </c>
      <c r="AI960" t="n">
        <v>9</v>
      </c>
      <c r="AJ960" t="n">
        <v>21</v>
      </c>
      <c r="AK960" t="n">
        <v>21</v>
      </c>
      <c r="AL960" t="n">
        <v>2</v>
      </c>
      <c r="AM960" t="n">
        <v>2</v>
      </c>
      <c r="AN960" t="n">
        <v>0</v>
      </c>
      <c r="AO960" t="n">
        <v>0</v>
      </c>
      <c r="AP960" t="inlineStr">
        <is>
          <t>No</t>
        </is>
      </c>
      <c r="AQ960" t="inlineStr">
        <is>
          <t>Yes</t>
        </is>
      </c>
      <c r="AR960">
        <f>HYPERLINK("http://catalog.hathitrust.org/Record/000722359","HathiTrust Record")</f>
        <v/>
      </c>
      <c r="AS960">
        <f>HYPERLINK("https://creighton-primo.hosted.exlibrisgroup.com/primo-explore/search?tab=default_tab&amp;search_scope=EVERYTHING&amp;vid=01CRU&amp;lang=en_US&amp;offset=0&amp;query=any,contains,991004008589702656","Catalog Record")</f>
        <v/>
      </c>
      <c r="AT960">
        <f>HYPERLINK("http://www.worldcat.org/oclc/2089489","WorldCat Record")</f>
        <v/>
      </c>
      <c r="AU960" t="inlineStr">
        <is>
          <t>155205297:eng</t>
        </is>
      </c>
      <c r="AV960" t="inlineStr">
        <is>
          <t>2089489</t>
        </is>
      </c>
      <c r="AW960" t="inlineStr">
        <is>
          <t>991004008589702656</t>
        </is>
      </c>
      <c r="AX960" t="inlineStr">
        <is>
          <t>991004008589702656</t>
        </is>
      </c>
      <c r="AY960" t="inlineStr">
        <is>
          <t>2263419890002656</t>
        </is>
      </c>
      <c r="AZ960" t="inlineStr">
        <is>
          <t>BOOK</t>
        </is>
      </c>
      <c r="BB960" t="inlineStr">
        <is>
          <t>9780814315521</t>
        </is>
      </c>
      <c r="BC960" t="inlineStr">
        <is>
          <t>32285000902758</t>
        </is>
      </c>
      <c r="BD960" t="inlineStr">
        <is>
          <t>893712049</t>
        </is>
      </c>
    </row>
    <row r="961">
      <c r="A961" t="inlineStr">
        <is>
          <t>No</t>
        </is>
      </c>
      <c r="B961" t="inlineStr">
        <is>
          <t>BV598 .M87 1975</t>
        </is>
      </c>
      <c r="C961" t="inlineStr">
        <is>
          <t>0                      BV 0598000M  87          1975</t>
        </is>
      </c>
      <c r="D961" t="inlineStr">
        <is>
          <t>Symbols of church and kingdom : a study in early Syriac tradition / Robert Murray.</t>
        </is>
      </c>
      <c r="F961" t="inlineStr">
        <is>
          <t>No</t>
        </is>
      </c>
      <c r="G961" t="inlineStr">
        <is>
          <t>1</t>
        </is>
      </c>
      <c r="H961" t="inlineStr">
        <is>
          <t>No</t>
        </is>
      </c>
      <c r="I961" t="inlineStr">
        <is>
          <t>No</t>
        </is>
      </c>
      <c r="J961" t="inlineStr">
        <is>
          <t>0</t>
        </is>
      </c>
      <c r="K961" t="inlineStr">
        <is>
          <t>Murray, Robert, 1908-2000.</t>
        </is>
      </c>
      <c r="L961" t="inlineStr">
        <is>
          <t>London ; New York : Cambridge University Press, 1975.</t>
        </is>
      </c>
      <c r="M961" t="inlineStr">
        <is>
          <t>1975</t>
        </is>
      </c>
      <c r="O961" t="inlineStr">
        <is>
          <t>eng</t>
        </is>
      </c>
      <c r="P961" t="inlineStr">
        <is>
          <t>enk</t>
        </is>
      </c>
      <c r="R961" t="inlineStr">
        <is>
          <t xml:space="preserve">BV </t>
        </is>
      </c>
      <c r="S961" t="n">
        <v>8</v>
      </c>
      <c r="T961" t="n">
        <v>8</v>
      </c>
      <c r="U961" t="inlineStr">
        <is>
          <t>2009-07-22</t>
        </is>
      </c>
      <c r="V961" t="inlineStr">
        <is>
          <t>2009-07-22</t>
        </is>
      </c>
      <c r="W961" t="inlineStr">
        <is>
          <t>1991-07-11</t>
        </is>
      </c>
      <c r="X961" t="inlineStr">
        <is>
          <t>1991-07-11</t>
        </is>
      </c>
      <c r="Y961" t="n">
        <v>486</v>
      </c>
      <c r="Z961" t="n">
        <v>344</v>
      </c>
      <c r="AA961" t="n">
        <v>665</v>
      </c>
      <c r="AB961" t="n">
        <v>3</v>
      </c>
      <c r="AC961" t="n">
        <v>5</v>
      </c>
      <c r="AD961" t="n">
        <v>21</v>
      </c>
      <c r="AE961" t="n">
        <v>33</v>
      </c>
      <c r="AF961" t="n">
        <v>5</v>
      </c>
      <c r="AG961" t="n">
        <v>12</v>
      </c>
      <c r="AH961" t="n">
        <v>6</v>
      </c>
      <c r="AI961" t="n">
        <v>8</v>
      </c>
      <c r="AJ961" t="n">
        <v>14</v>
      </c>
      <c r="AK961" t="n">
        <v>18</v>
      </c>
      <c r="AL961" t="n">
        <v>2</v>
      </c>
      <c r="AM961" t="n">
        <v>4</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HYPERLINK("https://creighton-primo.hosted.exlibrisgroup.com/primo-explore/search?tab=default_tab&amp;search_scope=EVERYTHING&amp;vid=01CRU&amp;lang=en_US&amp;offset=0&amp;query=any,contains,991003712619702656","Catalog Record")</f>
        <v/>
      </c>
      <c r="AT961">
        <f>HYPERLINK("http://www.worldcat.org/oclc/1354740","WorldCat Record")</f>
        <v/>
      </c>
      <c r="AU961" t="inlineStr">
        <is>
          <t>863941518:eng</t>
        </is>
      </c>
      <c r="AV961" t="inlineStr">
        <is>
          <t>1354740</t>
        </is>
      </c>
      <c r="AW961" t="inlineStr">
        <is>
          <t>991003712619702656</t>
        </is>
      </c>
      <c r="AX961" t="inlineStr">
        <is>
          <t>991003712619702656</t>
        </is>
      </c>
      <c r="AY961" t="inlineStr">
        <is>
          <t>2271384590002656</t>
        </is>
      </c>
      <c r="AZ961" t="inlineStr">
        <is>
          <t>BOOK</t>
        </is>
      </c>
      <c r="BB961" t="inlineStr">
        <is>
          <t>9780521205535</t>
        </is>
      </c>
      <c r="BC961" t="inlineStr">
        <is>
          <t>32285000637297</t>
        </is>
      </c>
      <c r="BD961" t="inlineStr">
        <is>
          <t>893422859</t>
        </is>
      </c>
    </row>
    <row r="962">
      <c r="A962" t="inlineStr">
        <is>
          <t>No</t>
        </is>
      </c>
      <c r="B962" t="inlineStr">
        <is>
          <t>BV6 .H2713</t>
        </is>
      </c>
      <c r="C962" t="inlineStr">
        <is>
          <t>0                      BV 0006000H  2713</t>
        </is>
      </c>
      <c r="D962" t="inlineStr">
        <is>
          <t>The worship of the early church / Ferdinand Hahn. Translated by David E. Green. Edited, with an introd., by John Reumann.</t>
        </is>
      </c>
      <c r="F962" t="inlineStr">
        <is>
          <t>No</t>
        </is>
      </c>
      <c r="G962" t="inlineStr">
        <is>
          <t>1</t>
        </is>
      </c>
      <c r="H962" t="inlineStr">
        <is>
          <t>No</t>
        </is>
      </c>
      <c r="I962" t="inlineStr">
        <is>
          <t>No</t>
        </is>
      </c>
      <c r="J962" t="inlineStr">
        <is>
          <t>0</t>
        </is>
      </c>
      <c r="K962" t="inlineStr">
        <is>
          <t>Hahn, Ferdinand, 1926-</t>
        </is>
      </c>
      <c r="L962" t="inlineStr">
        <is>
          <t>Philadelphia, Fortress Press [1973]</t>
        </is>
      </c>
      <c r="M962" t="inlineStr">
        <is>
          <t>1973</t>
        </is>
      </c>
      <c r="O962" t="inlineStr">
        <is>
          <t>eng</t>
        </is>
      </c>
      <c r="P962" t="inlineStr">
        <is>
          <t>pau</t>
        </is>
      </c>
      <c r="R962" t="inlineStr">
        <is>
          <t xml:space="preserve">BV </t>
        </is>
      </c>
      <c r="S962" t="n">
        <v>3</v>
      </c>
      <c r="T962" t="n">
        <v>3</v>
      </c>
      <c r="U962" t="inlineStr">
        <is>
          <t>1998-02-10</t>
        </is>
      </c>
      <c r="V962" t="inlineStr">
        <is>
          <t>1998-02-10</t>
        </is>
      </c>
      <c r="W962" t="inlineStr">
        <is>
          <t>1991-11-07</t>
        </is>
      </c>
      <c r="X962" t="inlineStr">
        <is>
          <t>1991-11-07</t>
        </is>
      </c>
      <c r="Y962" t="n">
        <v>623</v>
      </c>
      <c r="Z962" t="n">
        <v>522</v>
      </c>
      <c r="AA962" t="n">
        <v>529</v>
      </c>
      <c r="AB962" t="n">
        <v>5</v>
      </c>
      <c r="AC962" t="n">
        <v>5</v>
      </c>
      <c r="AD962" t="n">
        <v>41</v>
      </c>
      <c r="AE962" t="n">
        <v>41</v>
      </c>
      <c r="AF962" t="n">
        <v>16</v>
      </c>
      <c r="AG962" t="n">
        <v>16</v>
      </c>
      <c r="AH962" t="n">
        <v>10</v>
      </c>
      <c r="AI962" t="n">
        <v>10</v>
      </c>
      <c r="AJ962" t="n">
        <v>24</v>
      </c>
      <c r="AK962" t="n">
        <v>24</v>
      </c>
      <c r="AL962" t="n">
        <v>3</v>
      </c>
      <c r="AM962" t="n">
        <v>3</v>
      </c>
      <c r="AN962" t="n">
        <v>0</v>
      </c>
      <c r="AO962" t="n">
        <v>0</v>
      </c>
      <c r="AP962" t="inlineStr">
        <is>
          <t>No</t>
        </is>
      </c>
      <c r="AQ962" t="inlineStr">
        <is>
          <t>Yes</t>
        </is>
      </c>
      <c r="AR962">
        <f>HYPERLINK("http://catalog.hathitrust.org/Record/000686719","HathiTrust Record")</f>
        <v/>
      </c>
      <c r="AS962">
        <f>HYPERLINK("https://creighton-primo.hosted.exlibrisgroup.com/primo-explore/search?tab=default_tab&amp;search_scope=EVERYTHING&amp;vid=01CRU&amp;lang=en_US&amp;offset=0&amp;query=any,contains,991003085969702656","Catalog Record")</f>
        <v/>
      </c>
      <c r="AT962">
        <f>HYPERLINK("http://www.worldcat.org/oclc/636381","WorldCat Record")</f>
        <v/>
      </c>
      <c r="AU962" t="inlineStr">
        <is>
          <t>365606688:eng</t>
        </is>
      </c>
      <c r="AV962" t="inlineStr">
        <is>
          <t>636381</t>
        </is>
      </c>
      <c r="AW962" t="inlineStr">
        <is>
          <t>991003085969702656</t>
        </is>
      </c>
      <c r="AX962" t="inlineStr">
        <is>
          <t>991003085969702656</t>
        </is>
      </c>
      <c r="AY962" t="inlineStr">
        <is>
          <t>2255156680002656</t>
        </is>
      </c>
      <c r="AZ962" t="inlineStr">
        <is>
          <t>BOOK</t>
        </is>
      </c>
      <c r="BB962" t="inlineStr">
        <is>
          <t>9780800601270</t>
        </is>
      </c>
      <c r="BC962" t="inlineStr">
        <is>
          <t>32285000809722</t>
        </is>
      </c>
      <c r="BD962" t="inlineStr">
        <is>
          <t>893434632</t>
        </is>
      </c>
    </row>
    <row r="963">
      <c r="A963" t="inlineStr">
        <is>
          <t>No</t>
        </is>
      </c>
      <c r="B963" t="inlineStr">
        <is>
          <t>BV6 .H87 2000</t>
        </is>
      </c>
      <c r="C963" t="inlineStr">
        <is>
          <t>0                      BV 0006000H  87          2000</t>
        </is>
      </c>
      <c r="D963" t="inlineStr">
        <is>
          <t>At the origins of Christian worship : the context and character of earliest Christian devotion / Larry W. Hurtado.</t>
        </is>
      </c>
      <c r="F963" t="inlineStr">
        <is>
          <t>No</t>
        </is>
      </c>
      <c r="G963" t="inlineStr">
        <is>
          <t>1</t>
        </is>
      </c>
      <c r="H963" t="inlineStr">
        <is>
          <t>No</t>
        </is>
      </c>
      <c r="I963" t="inlineStr">
        <is>
          <t>No</t>
        </is>
      </c>
      <c r="J963" t="inlineStr">
        <is>
          <t>0</t>
        </is>
      </c>
      <c r="K963" t="inlineStr">
        <is>
          <t>Hurtado, Larry W., 1943-</t>
        </is>
      </c>
      <c r="L963" t="inlineStr">
        <is>
          <t>Grand Rapids, Mich. : W.B. Eerdmans Pub. Co., 2000.</t>
        </is>
      </c>
      <c r="M963" t="inlineStr">
        <is>
          <t>2000</t>
        </is>
      </c>
      <c r="O963" t="inlineStr">
        <is>
          <t>eng</t>
        </is>
      </c>
      <c r="P963" t="inlineStr">
        <is>
          <t>miu</t>
        </is>
      </c>
      <c r="R963" t="inlineStr">
        <is>
          <t xml:space="preserve">BV </t>
        </is>
      </c>
      <c r="S963" t="n">
        <v>6</v>
      </c>
      <c r="T963" t="n">
        <v>6</v>
      </c>
      <c r="U963" t="inlineStr">
        <is>
          <t>2002-09-12</t>
        </is>
      </c>
      <c r="V963" t="inlineStr">
        <is>
          <t>2002-09-12</t>
        </is>
      </c>
      <c r="W963" t="inlineStr">
        <is>
          <t>2002-07-17</t>
        </is>
      </c>
      <c r="X963" t="inlineStr">
        <is>
          <t>2002-07-17</t>
        </is>
      </c>
      <c r="Y963" t="n">
        <v>347</v>
      </c>
      <c r="Z963" t="n">
        <v>278</v>
      </c>
      <c r="AA963" t="n">
        <v>283</v>
      </c>
      <c r="AB963" t="n">
        <v>3</v>
      </c>
      <c r="AC963" t="n">
        <v>3</v>
      </c>
      <c r="AD963" t="n">
        <v>17</v>
      </c>
      <c r="AE963" t="n">
        <v>18</v>
      </c>
      <c r="AF963" t="n">
        <v>8</v>
      </c>
      <c r="AG963" t="n">
        <v>8</v>
      </c>
      <c r="AH963" t="n">
        <v>3</v>
      </c>
      <c r="AI963" t="n">
        <v>3</v>
      </c>
      <c r="AJ963" t="n">
        <v>10</v>
      </c>
      <c r="AK963" t="n">
        <v>11</v>
      </c>
      <c r="AL963" t="n">
        <v>2</v>
      </c>
      <c r="AM963" t="n">
        <v>2</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HYPERLINK("https://creighton-primo.hosted.exlibrisgroup.com/primo-explore/search?tab=default_tab&amp;search_scope=EVERYTHING&amp;vid=01CRU&amp;lang=en_US&amp;offset=0&amp;query=any,contains,991003836729702656","Catalog Record")</f>
        <v/>
      </c>
      <c r="AT963">
        <f>HYPERLINK("http://www.worldcat.org/oclc/44133065","WorldCat Record")</f>
        <v/>
      </c>
      <c r="AU963" t="inlineStr">
        <is>
          <t>33621054:eng</t>
        </is>
      </c>
      <c r="AV963" t="inlineStr">
        <is>
          <t>44133065</t>
        </is>
      </c>
      <c r="AW963" t="inlineStr">
        <is>
          <t>991003836729702656</t>
        </is>
      </c>
      <c r="AX963" t="inlineStr">
        <is>
          <t>991003836729702656</t>
        </is>
      </c>
      <c r="AY963" t="inlineStr">
        <is>
          <t>2270374640002656</t>
        </is>
      </c>
      <c r="AZ963" t="inlineStr">
        <is>
          <t>BOOK</t>
        </is>
      </c>
      <c r="BB963" t="inlineStr">
        <is>
          <t>9780802847492</t>
        </is>
      </c>
      <c r="BC963" t="inlineStr">
        <is>
          <t>32285004498787</t>
        </is>
      </c>
      <c r="BD963" t="inlineStr">
        <is>
          <t>893781464</t>
        </is>
      </c>
    </row>
    <row r="964">
      <c r="A964" t="inlineStr">
        <is>
          <t>No</t>
        </is>
      </c>
      <c r="B964" t="inlineStr">
        <is>
          <t>BV6 .M37 1975</t>
        </is>
      </c>
      <c r="C964" t="inlineStr">
        <is>
          <t>0                      BV 0006000M  37          1975</t>
        </is>
      </c>
      <c r="D964" t="inlineStr">
        <is>
          <t>Worship in the early church / by Ralph P. Martin.</t>
        </is>
      </c>
      <c r="F964" t="inlineStr">
        <is>
          <t>No</t>
        </is>
      </c>
      <c r="G964" t="inlineStr">
        <is>
          <t>1</t>
        </is>
      </c>
      <c r="H964" t="inlineStr">
        <is>
          <t>No</t>
        </is>
      </c>
      <c r="I964" t="inlineStr">
        <is>
          <t>No</t>
        </is>
      </c>
      <c r="J964" t="inlineStr">
        <is>
          <t>0</t>
        </is>
      </c>
      <c r="K964" t="inlineStr">
        <is>
          <t>Martin, Ralph P.</t>
        </is>
      </c>
      <c r="L964" t="inlineStr">
        <is>
          <t>Grand Rapids : Eerdmans, 1974, 1975 printing, c1964.</t>
        </is>
      </c>
      <c r="M964" t="inlineStr">
        <is>
          <t>1974</t>
        </is>
      </c>
      <c r="N964" t="inlineStr">
        <is>
          <t>[Rev. ed.]</t>
        </is>
      </c>
      <c r="O964" t="inlineStr">
        <is>
          <t>eng</t>
        </is>
      </c>
      <c r="P964" t="inlineStr">
        <is>
          <t>miu</t>
        </is>
      </c>
      <c r="R964" t="inlineStr">
        <is>
          <t xml:space="preserve">BV </t>
        </is>
      </c>
      <c r="S964" t="n">
        <v>8</v>
      </c>
      <c r="T964" t="n">
        <v>8</v>
      </c>
      <c r="U964" t="inlineStr">
        <is>
          <t>2005-08-26</t>
        </is>
      </c>
      <c r="V964" t="inlineStr">
        <is>
          <t>2005-08-26</t>
        </is>
      </c>
      <c r="W964" t="inlineStr">
        <is>
          <t>1991-11-07</t>
        </is>
      </c>
      <c r="X964" t="inlineStr">
        <is>
          <t>1991-11-07</t>
        </is>
      </c>
      <c r="Y964" t="n">
        <v>535</v>
      </c>
      <c r="Z964" t="n">
        <v>448</v>
      </c>
      <c r="AA964" t="n">
        <v>558</v>
      </c>
      <c r="AB964" t="n">
        <v>7</v>
      </c>
      <c r="AC964" t="n">
        <v>7</v>
      </c>
      <c r="AD964" t="n">
        <v>29</v>
      </c>
      <c r="AE964" t="n">
        <v>34</v>
      </c>
      <c r="AF964" t="n">
        <v>13</v>
      </c>
      <c r="AG964" t="n">
        <v>15</v>
      </c>
      <c r="AH964" t="n">
        <v>4</v>
      </c>
      <c r="AI964" t="n">
        <v>6</v>
      </c>
      <c r="AJ964" t="n">
        <v>14</v>
      </c>
      <c r="AK964" t="n">
        <v>18</v>
      </c>
      <c r="AL964" t="n">
        <v>4</v>
      </c>
      <c r="AM964" t="n">
        <v>4</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HYPERLINK("https://creighton-primo.hosted.exlibrisgroup.com/primo-explore/search?tab=default_tab&amp;search_scope=EVERYTHING&amp;vid=01CRU&amp;lang=en_US&amp;offset=0&amp;query=any,contains,991003704949702656","Catalog Record")</f>
        <v/>
      </c>
      <c r="AT964">
        <f>HYPERLINK("http://www.worldcat.org/oclc/1341551","WorldCat Record")</f>
        <v/>
      </c>
      <c r="AU964" t="inlineStr">
        <is>
          <t>578379:eng</t>
        </is>
      </c>
      <c r="AV964" t="inlineStr">
        <is>
          <t>1341551</t>
        </is>
      </c>
      <c r="AW964" t="inlineStr">
        <is>
          <t>991003704949702656</t>
        </is>
      </c>
      <c r="AX964" t="inlineStr">
        <is>
          <t>991003704949702656</t>
        </is>
      </c>
      <c r="AY964" t="inlineStr">
        <is>
          <t>2262420090002656</t>
        </is>
      </c>
      <c r="AZ964" t="inlineStr">
        <is>
          <t>BOOK</t>
        </is>
      </c>
      <c r="BB964" t="inlineStr">
        <is>
          <t>9780802816139</t>
        </is>
      </c>
      <c r="BC964" t="inlineStr">
        <is>
          <t>32285000809730</t>
        </is>
      </c>
      <c r="BD964" t="inlineStr">
        <is>
          <t>893252660</t>
        </is>
      </c>
    </row>
    <row r="965">
      <c r="A965" t="inlineStr">
        <is>
          <t>No</t>
        </is>
      </c>
      <c r="B965" t="inlineStr">
        <is>
          <t>BV6 .W67 1993</t>
        </is>
      </c>
      <c r="C965" t="inlineStr">
        <is>
          <t>0                      BV 0006000W  67          1993</t>
        </is>
      </c>
      <c r="D965" t="inlineStr">
        <is>
          <t>Worship in early Christianity / edited with introductions by Everett Ferguson.</t>
        </is>
      </c>
      <c r="F965" t="inlineStr">
        <is>
          <t>No</t>
        </is>
      </c>
      <c r="G965" t="inlineStr">
        <is>
          <t>1</t>
        </is>
      </c>
      <c r="H965" t="inlineStr">
        <is>
          <t>No</t>
        </is>
      </c>
      <c r="I965" t="inlineStr">
        <is>
          <t>No</t>
        </is>
      </c>
      <c r="J965" t="inlineStr">
        <is>
          <t>0</t>
        </is>
      </c>
      <c r="L965" t="inlineStr">
        <is>
          <t>New York : Garland, 1993.</t>
        </is>
      </c>
      <c r="M965" t="inlineStr">
        <is>
          <t>1993</t>
        </is>
      </c>
      <c r="O965" t="inlineStr">
        <is>
          <t>eng</t>
        </is>
      </c>
      <c r="P965" t="inlineStr">
        <is>
          <t>ctu</t>
        </is>
      </c>
      <c r="Q965" t="inlineStr">
        <is>
          <t>Studies in early Christianity ; v. 15</t>
        </is>
      </c>
      <c r="R965" t="inlineStr">
        <is>
          <t xml:space="preserve">BV </t>
        </is>
      </c>
      <c r="S965" t="n">
        <v>7</v>
      </c>
      <c r="T965" t="n">
        <v>7</v>
      </c>
      <c r="U965" t="inlineStr">
        <is>
          <t>2005-11-04</t>
        </is>
      </c>
      <c r="V965" t="inlineStr">
        <is>
          <t>2005-11-04</t>
        </is>
      </c>
      <c r="W965" t="inlineStr">
        <is>
          <t>1993-04-13</t>
        </is>
      </c>
      <c r="X965" t="inlineStr">
        <is>
          <t>1993-04-13</t>
        </is>
      </c>
      <c r="Y965" t="n">
        <v>223</v>
      </c>
      <c r="Z965" t="n">
        <v>167</v>
      </c>
      <c r="AA965" t="n">
        <v>167</v>
      </c>
      <c r="AB965" t="n">
        <v>1</v>
      </c>
      <c r="AC965" t="n">
        <v>1</v>
      </c>
      <c r="AD965" t="n">
        <v>13</v>
      </c>
      <c r="AE965" t="n">
        <v>13</v>
      </c>
      <c r="AF965" t="n">
        <v>5</v>
      </c>
      <c r="AG965" t="n">
        <v>5</v>
      </c>
      <c r="AH965" t="n">
        <v>3</v>
      </c>
      <c r="AI965" t="n">
        <v>3</v>
      </c>
      <c r="AJ965" t="n">
        <v>9</v>
      </c>
      <c r="AK965" t="n">
        <v>9</v>
      </c>
      <c r="AL965" t="n">
        <v>0</v>
      </c>
      <c r="AM965" t="n">
        <v>0</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HYPERLINK("https://creighton-primo.hosted.exlibrisgroup.com/primo-explore/search?tab=default_tab&amp;search_scope=EVERYTHING&amp;vid=01CRU&amp;lang=en_US&amp;offset=0&amp;query=any,contains,991002115039702656","Catalog Record")</f>
        <v/>
      </c>
      <c r="AT965">
        <f>HYPERLINK("http://www.worldcat.org/oclc/27107079","WorldCat Record")</f>
        <v/>
      </c>
      <c r="AU965" t="inlineStr">
        <is>
          <t>354591:eng</t>
        </is>
      </c>
      <c r="AV965" t="inlineStr">
        <is>
          <t>27107079</t>
        </is>
      </c>
      <c r="AW965" t="inlineStr">
        <is>
          <t>991002115039702656</t>
        </is>
      </c>
      <c r="AX965" t="inlineStr">
        <is>
          <t>991002115039702656</t>
        </is>
      </c>
      <c r="AY965" t="inlineStr">
        <is>
          <t>2261017590002656</t>
        </is>
      </c>
      <c r="AZ965" t="inlineStr">
        <is>
          <t>BOOK</t>
        </is>
      </c>
      <c r="BB965" t="inlineStr">
        <is>
          <t>9780815310754</t>
        </is>
      </c>
      <c r="BC965" t="inlineStr">
        <is>
          <t>32285001499275</t>
        </is>
      </c>
      <c r="BD965" t="inlineStr">
        <is>
          <t>893590930</t>
        </is>
      </c>
    </row>
    <row r="966">
      <c r="A966" t="inlineStr">
        <is>
          <t>No</t>
        </is>
      </c>
      <c r="B966" t="inlineStr">
        <is>
          <t>BV600 .C437 1984</t>
        </is>
      </c>
      <c r="C966" t="inlineStr">
        <is>
          <t>0                      BV 0600000C  437         1984</t>
        </is>
      </c>
      <c r="D966" t="inlineStr">
        <is>
          <t>The liberation of the church : the role of basic Christian groups in a new re-formation / David Clark.</t>
        </is>
      </c>
      <c r="F966" t="inlineStr">
        <is>
          <t>No</t>
        </is>
      </c>
      <c r="G966" t="inlineStr">
        <is>
          <t>1</t>
        </is>
      </c>
      <c r="H966" t="inlineStr">
        <is>
          <t>No</t>
        </is>
      </c>
      <c r="I966" t="inlineStr">
        <is>
          <t>No</t>
        </is>
      </c>
      <c r="J966" t="inlineStr">
        <is>
          <t>0</t>
        </is>
      </c>
      <c r="K966" t="inlineStr">
        <is>
          <t>Clark, David, 1934-</t>
        </is>
      </c>
      <c r="L966" t="inlineStr">
        <is>
          <t>Birmingham [West Midlands] : National Centre for Christian Communities and Networks, 1984.</t>
        </is>
      </c>
      <c r="M966" t="inlineStr">
        <is>
          <t>1984</t>
        </is>
      </c>
      <c r="O966" t="inlineStr">
        <is>
          <t>eng</t>
        </is>
      </c>
      <c r="P966" t="inlineStr">
        <is>
          <t>enk</t>
        </is>
      </c>
      <c r="R966" t="inlineStr">
        <is>
          <t xml:space="preserve">BV </t>
        </is>
      </c>
      <c r="S966" t="n">
        <v>2</v>
      </c>
      <c r="T966" t="n">
        <v>2</v>
      </c>
      <c r="U966" t="inlineStr">
        <is>
          <t>1994-02-03</t>
        </is>
      </c>
      <c r="V966" t="inlineStr">
        <is>
          <t>1994-02-03</t>
        </is>
      </c>
      <c r="W966" t="inlineStr">
        <is>
          <t>1992-01-09</t>
        </is>
      </c>
      <c r="X966" t="inlineStr">
        <is>
          <t>1992-01-09</t>
        </is>
      </c>
      <c r="Y966" t="n">
        <v>75</v>
      </c>
      <c r="Z966" t="n">
        <v>41</v>
      </c>
      <c r="AA966" t="n">
        <v>47</v>
      </c>
      <c r="AB966" t="n">
        <v>1</v>
      </c>
      <c r="AC966" t="n">
        <v>1</v>
      </c>
      <c r="AD966" t="n">
        <v>3</v>
      </c>
      <c r="AE966" t="n">
        <v>3</v>
      </c>
      <c r="AF966" t="n">
        <v>0</v>
      </c>
      <c r="AG966" t="n">
        <v>0</v>
      </c>
      <c r="AH966" t="n">
        <v>0</v>
      </c>
      <c r="AI966" t="n">
        <v>0</v>
      </c>
      <c r="AJ966" t="n">
        <v>3</v>
      </c>
      <c r="AK966" t="n">
        <v>3</v>
      </c>
      <c r="AL966" t="n">
        <v>0</v>
      </c>
      <c r="AM966" t="n">
        <v>0</v>
      </c>
      <c r="AN966" t="n">
        <v>0</v>
      </c>
      <c r="AO966" t="n">
        <v>0</v>
      </c>
      <c r="AP966" t="inlineStr">
        <is>
          <t>No</t>
        </is>
      </c>
      <c r="AQ966" t="inlineStr">
        <is>
          <t>Yes</t>
        </is>
      </c>
      <c r="AR966">
        <f>HYPERLINK("http://catalog.hathitrust.org/Record/000407350","HathiTrust Record")</f>
        <v/>
      </c>
      <c r="AS966">
        <f>HYPERLINK("https://creighton-primo.hosted.exlibrisgroup.com/primo-explore/search?tab=default_tab&amp;search_scope=EVERYTHING&amp;vid=01CRU&amp;lang=en_US&amp;offset=0&amp;query=any,contains,991000556659702656","Catalog Record")</f>
        <v/>
      </c>
      <c r="AT966">
        <f>HYPERLINK("http://www.worldcat.org/oclc/60045736","WorldCat Record")</f>
        <v/>
      </c>
      <c r="AU966" t="inlineStr">
        <is>
          <t>21061618:eng</t>
        </is>
      </c>
      <c r="AV966" t="inlineStr">
        <is>
          <t>60045736</t>
        </is>
      </c>
      <c r="AW966" t="inlineStr">
        <is>
          <t>991000556659702656</t>
        </is>
      </c>
      <c r="AX966" t="inlineStr">
        <is>
          <t>991000556659702656</t>
        </is>
      </c>
      <c r="AY966" t="inlineStr">
        <is>
          <t>2260965510002656</t>
        </is>
      </c>
      <c r="AZ966" t="inlineStr">
        <is>
          <t>BOOK</t>
        </is>
      </c>
      <c r="BB966" t="inlineStr">
        <is>
          <t>9780946185054</t>
        </is>
      </c>
      <c r="BC966" t="inlineStr">
        <is>
          <t>32285000902832</t>
        </is>
      </c>
      <c r="BD966" t="inlineStr">
        <is>
          <t>893771749</t>
        </is>
      </c>
    </row>
    <row r="967">
      <c r="A967" t="inlineStr">
        <is>
          <t>No</t>
        </is>
      </c>
      <c r="B967" t="inlineStr">
        <is>
          <t>BV600 .G85</t>
        </is>
      </c>
      <c r="C967" t="inlineStr">
        <is>
          <t>0                      BV 0600000G  85</t>
        </is>
      </c>
      <c r="D967" t="inlineStr">
        <is>
          <t>Treasure in earthen vessels : the church as a human community / James M. Gustafson.</t>
        </is>
      </c>
      <c r="F967" t="inlineStr">
        <is>
          <t>No</t>
        </is>
      </c>
      <c r="G967" t="inlineStr">
        <is>
          <t>1</t>
        </is>
      </c>
      <c r="H967" t="inlineStr">
        <is>
          <t>No</t>
        </is>
      </c>
      <c r="I967" t="inlineStr">
        <is>
          <t>No</t>
        </is>
      </c>
      <c r="J967" t="inlineStr">
        <is>
          <t>0</t>
        </is>
      </c>
      <c r="K967" t="inlineStr">
        <is>
          <t>Gustafson, James M.</t>
        </is>
      </c>
      <c r="L967" t="inlineStr">
        <is>
          <t>New York, Harper [1961]</t>
        </is>
      </c>
      <c r="M967" t="inlineStr">
        <is>
          <t>1961</t>
        </is>
      </c>
      <c r="N967" t="inlineStr">
        <is>
          <t>[1st ed.]</t>
        </is>
      </c>
      <c r="O967" t="inlineStr">
        <is>
          <t>eng</t>
        </is>
      </c>
      <c r="P967" t="inlineStr">
        <is>
          <t>nyu</t>
        </is>
      </c>
      <c r="R967" t="inlineStr">
        <is>
          <t xml:space="preserve">BV </t>
        </is>
      </c>
      <c r="S967" t="n">
        <v>7</v>
      </c>
      <c r="T967" t="n">
        <v>7</v>
      </c>
      <c r="U967" t="inlineStr">
        <is>
          <t>2007-07-20</t>
        </is>
      </c>
      <c r="V967" t="inlineStr">
        <is>
          <t>2007-07-20</t>
        </is>
      </c>
      <c r="W967" t="inlineStr">
        <is>
          <t>1992-01-09</t>
        </is>
      </c>
      <c r="X967" t="inlineStr">
        <is>
          <t>1992-01-09</t>
        </is>
      </c>
      <c r="Y967" t="n">
        <v>490</v>
      </c>
      <c r="Z967" t="n">
        <v>436</v>
      </c>
      <c r="AA967" t="n">
        <v>545</v>
      </c>
      <c r="AB967" t="n">
        <v>3</v>
      </c>
      <c r="AC967" t="n">
        <v>3</v>
      </c>
      <c r="AD967" t="n">
        <v>25</v>
      </c>
      <c r="AE967" t="n">
        <v>32</v>
      </c>
      <c r="AF967" t="n">
        <v>7</v>
      </c>
      <c r="AG967" t="n">
        <v>11</v>
      </c>
      <c r="AH967" t="n">
        <v>6</v>
      </c>
      <c r="AI967" t="n">
        <v>7</v>
      </c>
      <c r="AJ967" t="n">
        <v>16</v>
      </c>
      <c r="AK967" t="n">
        <v>21</v>
      </c>
      <c r="AL967" t="n">
        <v>2</v>
      </c>
      <c r="AM967" t="n">
        <v>2</v>
      </c>
      <c r="AN967" t="n">
        <v>0</v>
      </c>
      <c r="AO967" t="n">
        <v>0</v>
      </c>
      <c r="AP967" t="inlineStr">
        <is>
          <t>No</t>
        </is>
      </c>
      <c r="AQ967" t="inlineStr">
        <is>
          <t>Yes</t>
        </is>
      </c>
      <c r="AR967">
        <f>HYPERLINK("http://catalog.hathitrust.org/Record/001413257","HathiTrust Record")</f>
        <v/>
      </c>
      <c r="AS967">
        <f>HYPERLINK("https://creighton-primo.hosted.exlibrisgroup.com/primo-explore/search?tab=default_tab&amp;search_scope=EVERYTHING&amp;vid=01CRU&amp;lang=en_US&amp;offset=0&amp;query=any,contains,991002646079702656","Catalog Record")</f>
        <v/>
      </c>
      <c r="AT967">
        <f>HYPERLINK("http://www.worldcat.org/oclc/385835","WorldCat Record")</f>
        <v/>
      </c>
      <c r="AU967" t="inlineStr">
        <is>
          <t>1509059:eng</t>
        </is>
      </c>
      <c r="AV967" t="inlineStr">
        <is>
          <t>385835</t>
        </is>
      </c>
      <c r="AW967" t="inlineStr">
        <is>
          <t>991002646079702656</t>
        </is>
      </c>
      <c r="AX967" t="inlineStr">
        <is>
          <t>991002646079702656</t>
        </is>
      </c>
      <c r="AY967" t="inlineStr">
        <is>
          <t>2259133550002656</t>
        </is>
      </c>
      <c r="AZ967" t="inlineStr">
        <is>
          <t>BOOK</t>
        </is>
      </c>
      <c r="BC967" t="inlineStr">
        <is>
          <t>32285000902840</t>
        </is>
      </c>
      <c r="BD967" t="inlineStr">
        <is>
          <t>893421626</t>
        </is>
      </c>
    </row>
    <row r="968">
      <c r="A968" t="inlineStr">
        <is>
          <t>No</t>
        </is>
      </c>
      <c r="B968" t="inlineStr">
        <is>
          <t>BV600 .M3</t>
        </is>
      </c>
      <c r="C968" t="inlineStr">
        <is>
          <t>0                      BV 0600000M  3</t>
        </is>
      </c>
      <c r="D968" t="inlineStr">
        <is>
          <t>Corpus Christi : essays on the Church and the Eucharist / by E. L. Mascall.</t>
        </is>
      </c>
      <c r="F968" t="inlineStr">
        <is>
          <t>No</t>
        </is>
      </c>
      <c r="G968" t="inlineStr">
        <is>
          <t>1</t>
        </is>
      </c>
      <c r="H968" t="inlineStr">
        <is>
          <t>No</t>
        </is>
      </c>
      <c r="I968" t="inlineStr">
        <is>
          <t>No</t>
        </is>
      </c>
      <c r="J968" t="inlineStr">
        <is>
          <t>0</t>
        </is>
      </c>
      <c r="K968" t="inlineStr">
        <is>
          <t>Mascall, E. L. (Eric Lionel), 1905-1993.</t>
        </is>
      </c>
      <c r="L968" t="inlineStr">
        <is>
          <t>London ; New York : Longmans, 1953.</t>
        </is>
      </c>
      <c r="M968" t="inlineStr">
        <is>
          <t>1953</t>
        </is>
      </c>
      <c r="O968" t="inlineStr">
        <is>
          <t>eng</t>
        </is>
      </c>
      <c r="P968" t="inlineStr">
        <is>
          <t>enk</t>
        </is>
      </c>
      <c r="R968" t="inlineStr">
        <is>
          <t xml:space="preserve">BV </t>
        </is>
      </c>
      <c r="S968" t="n">
        <v>1</v>
      </c>
      <c r="T968" t="n">
        <v>1</v>
      </c>
      <c r="U968" t="inlineStr">
        <is>
          <t>1998-06-15</t>
        </is>
      </c>
      <c r="V968" t="inlineStr">
        <is>
          <t>1998-06-15</t>
        </is>
      </c>
      <c r="W968" t="inlineStr">
        <is>
          <t>1992-01-09</t>
        </is>
      </c>
      <c r="X968" t="inlineStr">
        <is>
          <t>1992-01-09</t>
        </is>
      </c>
      <c r="Y968" t="n">
        <v>221</v>
      </c>
      <c r="Z968" t="n">
        <v>163</v>
      </c>
      <c r="AA968" t="n">
        <v>214</v>
      </c>
      <c r="AB968" t="n">
        <v>3</v>
      </c>
      <c r="AC968" t="n">
        <v>4</v>
      </c>
      <c r="AD968" t="n">
        <v>14</v>
      </c>
      <c r="AE968" t="n">
        <v>24</v>
      </c>
      <c r="AF968" t="n">
        <v>4</v>
      </c>
      <c r="AG968" t="n">
        <v>8</v>
      </c>
      <c r="AH968" t="n">
        <v>5</v>
      </c>
      <c r="AI968" t="n">
        <v>5</v>
      </c>
      <c r="AJ968" t="n">
        <v>11</v>
      </c>
      <c r="AK968" t="n">
        <v>17</v>
      </c>
      <c r="AL968" t="n">
        <v>0</v>
      </c>
      <c r="AM968" t="n">
        <v>1</v>
      </c>
      <c r="AN968" t="n">
        <v>0</v>
      </c>
      <c r="AO968" t="n">
        <v>0</v>
      </c>
      <c r="AP968" t="inlineStr">
        <is>
          <t>No</t>
        </is>
      </c>
      <c r="AQ968" t="inlineStr">
        <is>
          <t>Yes</t>
        </is>
      </c>
      <c r="AR968">
        <f>HYPERLINK("http://catalog.hathitrust.org/Record/102089739","HathiTrust Record")</f>
        <v/>
      </c>
      <c r="AS968">
        <f>HYPERLINK("https://creighton-primo.hosted.exlibrisgroup.com/primo-explore/search?tab=default_tab&amp;search_scope=EVERYTHING&amp;vid=01CRU&amp;lang=en_US&amp;offset=0&amp;query=any,contains,991004204379702656","Catalog Record")</f>
        <v/>
      </c>
      <c r="AT968">
        <f>HYPERLINK("http://www.worldcat.org/oclc/2660939","WorldCat Record")</f>
        <v/>
      </c>
      <c r="AU968" t="inlineStr">
        <is>
          <t>433792562:eng</t>
        </is>
      </c>
      <c r="AV968" t="inlineStr">
        <is>
          <t>2660939</t>
        </is>
      </c>
      <c r="AW968" t="inlineStr">
        <is>
          <t>991004204379702656</t>
        </is>
      </c>
      <c r="AX968" t="inlineStr">
        <is>
          <t>991004204379702656</t>
        </is>
      </c>
      <c r="AY968" t="inlineStr">
        <is>
          <t>2262228280002656</t>
        </is>
      </c>
      <c r="AZ968" t="inlineStr">
        <is>
          <t>BOOK</t>
        </is>
      </c>
      <c r="BC968" t="inlineStr">
        <is>
          <t>32285000902865</t>
        </is>
      </c>
      <c r="BD968" t="inlineStr">
        <is>
          <t>893241150</t>
        </is>
      </c>
    </row>
    <row r="969">
      <c r="A969" t="inlineStr">
        <is>
          <t>No</t>
        </is>
      </c>
      <c r="B969" t="inlineStr">
        <is>
          <t>BV600.2 .B313</t>
        </is>
      </c>
      <c r="C969" t="inlineStr">
        <is>
          <t>0                      BV 0600200B  313</t>
        </is>
      </c>
      <c r="D969" t="inlineStr">
        <is>
          <t>Church and world / Hans Urs von Balthasar. Translated by A.V. Littledale with Alexander Dru.</t>
        </is>
      </c>
      <c r="F969" t="inlineStr">
        <is>
          <t>No</t>
        </is>
      </c>
      <c r="G969" t="inlineStr">
        <is>
          <t>1</t>
        </is>
      </c>
      <c r="H969" t="inlineStr">
        <is>
          <t>No</t>
        </is>
      </c>
      <c r="I969" t="inlineStr">
        <is>
          <t>Yes</t>
        </is>
      </c>
      <c r="J969" t="inlineStr">
        <is>
          <t>0</t>
        </is>
      </c>
      <c r="K969" t="inlineStr">
        <is>
          <t>Balthasar, Hans Urs von, 1905-1988.</t>
        </is>
      </c>
      <c r="L969" t="inlineStr">
        <is>
          <t>[New York] Herder and Herder [1967]</t>
        </is>
      </c>
      <c r="M969" t="inlineStr">
        <is>
          <t>1967</t>
        </is>
      </c>
      <c r="O969" t="inlineStr">
        <is>
          <t>eng</t>
        </is>
      </c>
      <c r="P969" t="inlineStr">
        <is>
          <t>nyu</t>
        </is>
      </c>
      <c r="R969" t="inlineStr">
        <is>
          <t xml:space="preserve">BV </t>
        </is>
      </c>
      <c r="S969" t="n">
        <v>3</v>
      </c>
      <c r="T969" t="n">
        <v>3</v>
      </c>
      <c r="U969" t="inlineStr">
        <is>
          <t>2005-11-02</t>
        </is>
      </c>
      <c r="V969" t="inlineStr">
        <is>
          <t>2005-11-02</t>
        </is>
      </c>
      <c r="W969" t="inlineStr">
        <is>
          <t>1990-03-02</t>
        </is>
      </c>
      <c r="X969" t="inlineStr">
        <is>
          <t>1990-03-02</t>
        </is>
      </c>
      <c r="Y969" t="n">
        <v>287</v>
      </c>
      <c r="Z969" t="n">
        <v>249</v>
      </c>
      <c r="AA969" t="n">
        <v>299</v>
      </c>
      <c r="AB969" t="n">
        <v>2</v>
      </c>
      <c r="AC969" t="n">
        <v>2</v>
      </c>
      <c r="AD969" t="n">
        <v>31</v>
      </c>
      <c r="AE969" t="n">
        <v>32</v>
      </c>
      <c r="AF969" t="n">
        <v>10</v>
      </c>
      <c r="AG969" t="n">
        <v>10</v>
      </c>
      <c r="AH969" t="n">
        <v>8</v>
      </c>
      <c r="AI969" t="n">
        <v>9</v>
      </c>
      <c r="AJ969" t="n">
        <v>24</v>
      </c>
      <c r="AK969" t="n">
        <v>25</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HYPERLINK("https://creighton-primo.hosted.exlibrisgroup.com/primo-explore/search?tab=default_tab&amp;search_scope=EVERYTHING&amp;vid=01CRU&amp;lang=en_US&amp;offset=0&amp;query=any,contains,991003905939702656","Catalog Record")</f>
        <v/>
      </c>
      <c r="AT969">
        <f>HYPERLINK("http://www.worldcat.org/oclc/1838193","WorldCat Record")</f>
        <v/>
      </c>
      <c r="AU969" t="inlineStr">
        <is>
          <t>48536006:eng</t>
        </is>
      </c>
      <c r="AV969" t="inlineStr">
        <is>
          <t>1838193</t>
        </is>
      </c>
      <c r="AW969" t="inlineStr">
        <is>
          <t>991003905939702656</t>
        </is>
      </c>
      <c r="AX969" t="inlineStr">
        <is>
          <t>991003905939702656</t>
        </is>
      </c>
      <c r="AY969" t="inlineStr">
        <is>
          <t>2254832920002656</t>
        </is>
      </c>
      <c r="AZ969" t="inlineStr">
        <is>
          <t>BOOK</t>
        </is>
      </c>
      <c r="BC969" t="inlineStr">
        <is>
          <t>32285000074269</t>
        </is>
      </c>
      <c r="BD969" t="inlineStr">
        <is>
          <t>893794247</t>
        </is>
      </c>
    </row>
    <row r="970">
      <c r="A970" t="inlineStr">
        <is>
          <t>No</t>
        </is>
      </c>
      <c r="B970" t="inlineStr">
        <is>
          <t>BV600.2 .C554 1996</t>
        </is>
      </c>
      <c r="C970" t="inlineStr">
        <is>
          <t>0                      BV 0600200C  554         1996</t>
        </is>
      </c>
      <c r="D970" t="inlineStr">
        <is>
          <t>A peculiar people : the Church as culture in a post-Christian society / Rodney Clapp.</t>
        </is>
      </c>
      <c r="F970" t="inlineStr">
        <is>
          <t>No</t>
        </is>
      </c>
      <c r="G970" t="inlineStr">
        <is>
          <t>1</t>
        </is>
      </c>
      <c r="H970" t="inlineStr">
        <is>
          <t>No</t>
        </is>
      </c>
      <c r="I970" t="inlineStr">
        <is>
          <t>No</t>
        </is>
      </c>
      <c r="J970" t="inlineStr">
        <is>
          <t>0</t>
        </is>
      </c>
      <c r="K970" t="inlineStr">
        <is>
          <t>Clapp, Rodney.</t>
        </is>
      </c>
      <c r="L970" t="inlineStr">
        <is>
          <t>Downers Grove, Ill. : InterVarsity Press, c1996.</t>
        </is>
      </c>
      <c r="M970" t="inlineStr">
        <is>
          <t>1996</t>
        </is>
      </c>
      <c r="O970" t="inlineStr">
        <is>
          <t>eng</t>
        </is>
      </c>
      <c r="P970" t="inlineStr">
        <is>
          <t>ilu</t>
        </is>
      </c>
      <c r="R970" t="inlineStr">
        <is>
          <t xml:space="preserve">BV </t>
        </is>
      </c>
      <c r="S970" t="n">
        <v>1</v>
      </c>
      <c r="T970" t="n">
        <v>1</v>
      </c>
      <c r="U970" t="inlineStr">
        <is>
          <t>2006-04-10</t>
        </is>
      </c>
      <c r="V970" t="inlineStr">
        <is>
          <t>2006-04-10</t>
        </is>
      </c>
      <c r="W970" t="inlineStr">
        <is>
          <t>2006-04-10</t>
        </is>
      </c>
      <c r="X970" t="inlineStr">
        <is>
          <t>2006-04-10</t>
        </is>
      </c>
      <c r="Y970" t="n">
        <v>398</v>
      </c>
      <c r="Z970" t="n">
        <v>345</v>
      </c>
      <c r="AA970" t="n">
        <v>350</v>
      </c>
      <c r="AB970" t="n">
        <v>1</v>
      </c>
      <c r="AC970" t="n">
        <v>1</v>
      </c>
      <c r="AD970" t="n">
        <v>13</v>
      </c>
      <c r="AE970" t="n">
        <v>13</v>
      </c>
      <c r="AF970" t="n">
        <v>6</v>
      </c>
      <c r="AG970" t="n">
        <v>6</v>
      </c>
      <c r="AH970" t="n">
        <v>3</v>
      </c>
      <c r="AI970" t="n">
        <v>3</v>
      </c>
      <c r="AJ970" t="n">
        <v>6</v>
      </c>
      <c r="AK970" t="n">
        <v>6</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HYPERLINK("https://creighton-primo.hosted.exlibrisgroup.com/primo-explore/search?tab=default_tab&amp;search_scope=EVERYTHING&amp;vid=01CRU&amp;lang=en_US&amp;offset=0&amp;query=any,contains,991004780339702656","Catalog Record")</f>
        <v/>
      </c>
      <c r="AT970">
        <f>HYPERLINK("http://www.worldcat.org/oclc/34919668","WorldCat Record")</f>
        <v/>
      </c>
      <c r="AU970" t="inlineStr">
        <is>
          <t>20690520:eng</t>
        </is>
      </c>
      <c r="AV970" t="inlineStr">
        <is>
          <t>34919668</t>
        </is>
      </c>
      <c r="AW970" t="inlineStr">
        <is>
          <t>991004780339702656</t>
        </is>
      </c>
      <c r="AX970" t="inlineStr">
        <is>
          <t>991004780339702656</t>
        </is>
      </c>
      <c r="AY970" t="inlineStr">
        <is>
          <t>2259771650002656</t>
        </is>
      </c>
      <c r="AZ970" t="inlineStr">
        <is>
          <t>BOOK</t>
        </is>
      </c>
      <c r="BB970" t="inlineStr">
        <is>
          <t>9780830819904</t>
        </is>
      </c>
      <c r="BC970" t="inlineStr">
        <is>
          <t>32285005180657</t>
        </is>
      </c>
      <c r="BD970" t="inlineStr">
        <is>
          <t>893443047</t>
        </is>
      </c>
    </row>
    <row r="971">
      <c r="A971" t="inlineStr">
        <is>
          <t>No</t>
        </is>
      </c>
      <c r="B971" t="inlineStr">
        <is>
          <t>BV600.2 .E94 1994</t>
        </is>
      </c>
      <c r="C971" t="inlineStr">
        <is>
          <t>0                      BV 0600200E  94          1994</t>
        </is>
      </c>
      <c r="D971" t="inlineStr">
        <is>
          <t>The Church and the churches : toward an ecumenical ecclesiology / G.R. Evans.</t>
        </is>
      </c>
      <c r="F971" t="inlineStr">
        <is>
          <t>No</t>
        </is>
      </c>
      <c r="G971" t="inlineStr">
        <is>
          <t>1</t>
        </is>
      </c>
      <c r="H971" t="inlineStr">
        <is>
          <t>No</t>
        </is>
      </c>
      <c r="I971" t="inlineStr">
        <is>
          <t>No</t>
        </is>
      </c>
      <c r="J971" t="inlineStr">
        <is>
          <t>0</t>
        </is>
      </c>
      <c r="K971" t="inlineStr">
        <is>
          <t>Evans, G. R. (Gillian Rosemary)</t>
        </is>
      </c>
      <c r="L971" t="inlineStr">
        <is>
          <t>Cambridge ; New York : Cambridge University Press, 1994.</t>
        </is>
      </c>
      <c r="M971" t="inlineStr">
        <is>
          <t>1994</t>
        </is>
      </c>
      <c r="O971" t="inlineStr">
        <is>
          <t>eng</t>
        </is>
      </c>
      <c r="P971" t="inlineStr">
        <is>
          <t>enk</t>
        </is>
      </c>
      <c r="R971" t="inlineStr">
        <is>
          <t xml:space="preserve">BV </t>
        </is>
      </c>
      <c r="S971" t="n">
        <v>2</v>
      </c>
      <c r="T971" t="n">
        <v>2</v>
      </c>
      <c r="U971" t="inlineStr">
        <is>
          <t>2004-04-29</t>
        </is>
      </c>
      <c r="V971" t="inlineStr">
        <is>
          <t>2004-04-29</t>
        </is>
      </c>
      <c r="W971" t="inlineStr">
        <is>
          <t>1996-04-12</t>
        </is>
      </c>
      <c r="X971" t="inlineStr">
        <is>
          <t>1996-04-12</t>
        </is>
      </c>
      <c r="Y971" t="n">
        <v>343</v>
      </c>
      <c r="Z971" t="n">
        <v>254</v>
      </c>
      <c r="AA971" t="n">
        <v>276</v>
      </c>
      <c r="AB971" t="n">
        <v>3</v>
      </c>
      <c r="AC971" t="n">
        <v>3</v>
      </c>
      <c r="AD971" t="n">
        <v>23</v>
      </c>
      <c r="AE971" t="n">
        <v>23</v>
      </c>
      <c r="AF971" t="n">
        <v>7</v>
      </c>
      <c r="AG971" t="n">
        <v>7</v>
      </c>
      <c r="AH971" t="n">
        <v>6</v>
      </c>
      <c r="AI971" t="n">
        <v>6</v>
      </c>
      <c r="AJ971" t="n">
        <v>15</v>
      </c>
      <c r="AK971" t="n">
        <v>15</v>
      </c>
      <c r="AL971" t="n">
        <v>2</v>
      </c>
      <c r="AM971" t="n">
        <v>2</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HYPERLINK("https://creighton-primo.hosted.exlibrisgroup.com/primo-explore/search?tab=default_tab&amp;search_scope=EVERYTHING&amp;vid=01CRU&amp;lang=en_US&amp;offset=0&amp;query=any,contains,991002268939702656","Catalog Record")</f>
        <v/>
      </c>
      <c r="AT971">
        <f>HYPERLINK("http://www.worldcat.org/oclc/29429649","WorldCat Record")</f>
        <v/>
      </c>
      <c r="AU971" t="inlineStr">
        <is>
          <t>836964359:eng</t>
        </is>
      </c>
      <c r="AV971" t="inlineStr">
        <is>
          <t>29429649</t>
        </is>
      </c>
      <c r="AW971" t="inlineStr">
        <is>
          <t>991002268939702656</t>
        </is>
      </c>
      <c r="AX971" t="inlineStr">
        <is>
          <t>991002268939702656</t>
        </is>
      </c>
      <c r="AY971" t="inlineStr">
        <is>
          <t>2271417640002656</t>
        </is>
      </c>
      <c r="AZ971" t="inlineStr">
        <is>
          <t>BOOK</t>
        </is>
      </c>
      <c r="BB971" t="inlineStr">
        <is>
          <t>9780521462860</t>
        </is>
      </c>
      <c r="BC971" t="inlineStr">
        <is>
          <t>32285002152378</t>
        </is>
      </c>
      <c r="BD971" t="inlineStr">
        <is>
          <t>893697560</t>
        </is>
      </c>
    </row>
    <row r="972">
      <c r="A972" t="inlineStr">
        <is>
          <t>No</t>
        </is>
      </c>
      <c r="B972" t="inlineStr">
        <is>
          <t>BV600.2 .H343</t>
        </is>
      </c>
      <c r="C972" t="inlineStr">
        <is>
          <t>0                      BV 0600200H  343</t>
        </is>
      </c>
      <c r="D972" t="inlineStr">
        <is>
          <t>The Church and God's people / Bernhard Hanssler. Translated by Gregory Roettger.</t>
        </is>
      </c>
      <c r="F972" t="inlineStr">
        <is>
          <t>No</t>
        </is>
      </c>
      <c r="G972" t="inlineStr">
        <is>
          <t>1</t>
        </is>
      </c>
      <c r="H972" t="inlineStr">
        <is>
          <t>No</t>
        </is>
      </c>
      <c r="I972" t="inlineStr">
        <is>
          <t>No</t>
        </is>
      </c>
      <c r="J972" t="inlineStr">
        <is>
          <t>0</t>
        </is>
      </c>
      <c r="K972" t="inlineStr">
        <is>
          <t>Hanssler, Bernhard.</t>
        </is>
      </c>
      <c r="L972" t="inlineStr">
        <is>
          <t>Baltimore, Helicon [c1963]</t>
        </is>
      </c>
      <c r="M972" t="inlineStr">
        <is>
          <t>1963</t>
        </is>
      </c>
      <c r="N972" t="inlineStr">
        <is>
          <t>[1st ed.]</t>
        </is>
      </c>
      <c r="O972" t="inlineStr">
        <is>
          <t>eng</t>
        </is>
      </c>
      <c r="P972" t="inlineStr">
        <is>
          <t>___</t>
        </is>
      </c>
      <c r="R972" t="inlineStr">
        <is>
          <t xml:space="preserve">BV </t>
        </is>
      </c>
      <c r="S972" t="n">
        <v>2</v>
      </c>
      <c r="T972" t="n">
        <v>2</v>
      </c>
      <c r="U972" t="inlineStr">
        <is>
          <t>1997-04-21</t>
        </is>
      </c>
      <c r="V972" t="inlineStr">
        <is>
          <t>1997-04-21</t>
        </is>
      </c>
      <c r="W972" t="inlineStr">
        <is>
          <t>1992-01-09</t>
        </is>
      </c>
      <c r="X972" t="inlineStr">
        <is>
          <t>1992-01-09</t>
        </is>
      </c>
      <c r="Y972" t="n">
        <v>185</v>
      </c>
      <c r="Z972" t="n">
        <v>156</v>
      </c>
      <c r="AA972" t="n">
        <v>161</v>
      </c>
      <c r="AB972" t="n">
        <v>4</v>
      </c>
      <c r="AC972" t="n">
        <v>4</v>
      </c>
      <c r="AD972" t="n">
        <v>25</v>
      </c>
      <c r="AE972" t="n">
        <v>25</v>
      </c>
      <c r="AF972" t="n">
        <v>8</v>
      </c>
      <c r="AG972" t="n">
        <v>8</v>
      </c>
      <c r="AH972" t="n">
        <v>5</v>
      </c>
      <c r="AI972" t="n">
        <v>5</v>
      </c>
      <c r="AJ972" t="n">
        <v>20</v>
      </c>
      <c r="AK972" t="n">
        <v>20</v>
      </c>
      <c r="AL972" t="n">
        <v>1</v>
      </c>
      <c r="AM972" t="n">
        <v>1</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HYPERLINK("https://creighton-primo.hosted.exlibrisgroup.com/primo-explore/search?tab=default_tab&amp;search_scope=EVERYTHING&amp;vid=01CRU&amp;lang=en_US&amp;offset=0&amp;query=any,contains,991003107779702656","Catalog Record")</f>
        <v/>
      </c>
      <c r="AT972">
        <f>HYPERLINK("http://www.worldcat.org/oclc/654980","WorldCat Record")</f>
        <v/>
      </c>
      <c r="AU972" t="inlineStr">
        <is>
          <t>1615551:eng</t>
        </is>
      </c>
      <c r="AV972" t="inlineStr">
        <is>
          <t>654980</t>
        </is>
      </c>
      <c r="AW972" t="inlineStr">
        <is>
          <t>991003107779702656</t>
        </is>
      </c>
      <c r="AX972" t="inlineStr">
        <is>
          <t>991003107779702656</t>
        </is>
      </c>
      <c r="AY972" t="inlineStr">
        <is>
          <t>2262102350002656</t>
        </is>
      </c>
      <c r="AZ972" t="inlineStr">
        <is>
          <t>BOOK</t>
        </is>
      </c>
      <c r="BC972" t="inlineStr">
        <is>
          <t>32285000902907</t>
        </is>
      </c>
      <c r="BD972" t="inlineStr">
        <is>
          <t>893704913</t>
        </is>
      </c>
    </row>
    <row r="973">
      <c r="A973" t="inlineStr">
        <is>
          <t>No</t>
        </is>
      </c>
      <c r="B973" t="inlineStr">
        <is>
          <t>BV600.2 .H39</t>
        </is>
      </c>
      <c r="C973" t="inlineStr">
        <is>
          <t>0                      BV 0600200H  39</t>
        </is>
      </c>
      <c r="D973" t="inlineStr">
        <is>
          <t>The theology of the church / by Peter Hebblethwaite.</t>
        </is>
      </c>
      <c r="F973" t="inlineStr">
        <is>
          <t>No</t>
        </is>
      </c>
      <c r="G973" t="inlineStr">
        <is>
          <t>1</t>
        </is>
      </c>
      <c r="H973" t="inlineStr">
        <is>
          <t>No</t>
        </is>
      </c>
      <c r="I973" t="inlineStr">
        <is>
          <t>No</t>
        </is>
      </c>
      <c r="J973" t="inlineStr">
        <is>
          <t>0</t>
        </is>
      </c>
      <c r="K973" t="inlineStr">
        <is>
          <t>Hebblethwaite, Peter.</t>
        </is>
      </c>
      <c r="L973" t="inlineStr">
        <is>
          <t>Notre Dame, Ind., Fides Publishers [1969]</t>
        </is>
      </c>
      <c r="M973" t="inlineStr">
        <is>
          <t>1969</t>
        </is>
      </c>
      <c r="O973" t="inlineStr">
        <is>
          <t>eng</t>
        </is>
      </c>
      <c r="P973" t="inlineStr">
        <is>
          <t>inu</t>
        </is>
      </c>
      <c r="Q973" t="inlineStr">
        <is>
          <t>Theology today ; no. 8</t>
        </is>
      </c>
      <c r="R973" t="inlineStr">
        <is>
          <t xml:space="preserve">BV </t>
        </is>
      </c>
      <c r="S973" t="n">
        <v>9</v>
      </c>
      <c r="T973" t="n">
        <v>9</v>
      </c>
      <c r="U973" t="inlineStr">
        <is>
          <t>2004-04-07</t>
        </is>
      </c>
      <c r="V973" t="inlineStr">
        <is>
          <t>2004-04-07</t>
        </is>
      </c>
      <c r="W973" t="inlineStr">
        <is>
          <t>1990-08-08</t>
        </is>
      </c>
      <c r="X973" t="inlineStr">
        <is>
          <t>1990-08-08</t>
        </is>
      </c>
      <c r="Y973" t="n">
        <v>167</v>
      </c>
      <c r="Z973" t="n">
        <v>145</v>
      </c>
      <c r="AA973" t="n">
        <v>169</v>
      </c>
      <c r="AB973" t="n">
        <v>3</v>
      </c>
      <c r="AC973" t="n">
        <v>3</v>
      </c>
      <c r="AD973" t="n">
        <v>24</v>
      </c>
      <c r="AE973" t="n">
        <v>27</v>
      </c>
      <c r="AF973" t="n">
        <v>7</v>
      </c>
      <c r="AG973" t="n">
        <v>8</v>
      </c>
      <c r="AH973" t="n">
        <v>5</v>
      </c>
      <c r="AI973" t="n">
        <v>7</v>
      </c>
      <c r="AJ973" t="n">
        <v>18</v>
      </c>
      <c r="AK973" t="n">
        <v>21</v>
      </c>
      <c r="AL973" t="n">
        <v>1</v>
      </c>
      <c r="AM973" t="n">
        <v>1</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HYPERLINK("https://creighton-primo.hosted.exlibrisgroup.com/primo-explore/search?tab=default_tab&amp;search_scope=EVERYTHING&amp;vid=01CRU&amp;lang=en_US&amp;offset=0&amp;query=any,contains,991000113979702656","Catalog Record")</f>
        <v/>
      </c>
      <c r="AT973">
        <f>HYPERLINK("http://www.worldcat.org/oclc/48544","WorldCat Record")</f>
        <v/>
      </c>
      <c r="AU973" t="inlineStr">
        <is>
          <t>3943742123:eng</t>
        </is>
      </c>
      <c r="AV973" t="inlineStr">
        <is>
          <t>48544</t>
        </is>
      </c>
      <c r="AW973" t="inlineStr">
        <is>
          <t>991000113979702656</t>
        </is>
      </c>
      <c r="AX973" t="inlineStr">
        <is>
          <t>991000113979702656</t>
        </is>
      </c>
      <c r="AY973" t="inlineStr">
        <is>
          <t>2263243610002656</t>
        </is>
      </c>
      <c r="AZ973" t="inlineStr">
        <is>
          <t>BOOK</t>
        </is>
      </c>
      <c r="BC973" t="inlineStr">
        <is>
          <t>32285000269927</t>
        </is>
      </c>
      <c r="BD973" t="inlineStr">
        <is>
          <t>893595289</t>
        </is>
      </c>
    </row>
    <row r="974">
      <c r="A974" t="inlineStr">
        <is>
          <t>No</t>
        </is>
      </c>
      <c r="B974" t="inlineStr">
        <is>
          <t>BV600.2 .H568 1988</t>
        </is>
      </c>
      <c r="C974" t="inlineStr">
        <is>
          <t>0                      BV 0600200H  568         1988</t>
        </is>
      </c>
      <c r="D974" t="inlineStr">
        <is>
          <t>Revisioning the church : ecclesial freedom in the new paradigm / Peter C. Hodgson.</t>
        </is>
      </c>
      <c r="F974" t="inlineStr">
        <is>
          <t>No</t>
        </is>
      </c>
      <c r="G974" t="inlineStr">
        <is>
          <t>1</t>
        </is>
      </c>
      <c r="H974" t="inlineStr">
        <is>
          <t>No</t>
        </is>
      </c>
      <c r="I974" t="inlineStr">
        <is>
          <t>No</t>
        </is>
      </c>
      <c r="J974" t="inlineStr">
        <is>
          <t>0</t>
        </is>
      </c>
      <c r="K974" t="inlineStr">
        <is>
          <t>Hodgson, Peter Crafts, 1934-</t>
        </is>
      </c>
      <c r="L974" t="inlineStr">
        <is>
          <t>Philadelphia : Fortress Press, c1988.</t>
        </is>
      </c>
      <c r="M974" t="inlineStr">
        <is>
          <t>1988</t>
        </is>
      </c>
      <c r="O974" t="inlineStr">
        <is>
          <t>eng</t>
        </is>
      </c>
      <c r="P974" t="inlineStr">
        <is>
          <t>pau</t>
        </is>
      </c>
      <c r="R974" t="inlineStr">
        <is>
          <t xml:space="preserve">BV </t>
        </is>
      </c>
      <c r="S974" t="n">
        <v>3</v>
      </c>
      <c r="T974" t="n">
        <v>3</v>
      </c>
      <c r="U974" t="inlineStr">
        <is>
          <t>2004-11-07</t>
        </is>
      </c>
      <c r="V974" t="inlineStr">
        <is>
          <t>2004-11-07</t>
        </is>
      </c>
      <c r="W974" t="inlineStr">
        <is>
          <t>1991-04-09</t>
        </is>
      </c>
      <c r="X974" t="inlineStr">
        <is>
          <t>1991-04-09</t>
        </is>
      </c>
      <c r="Y974" t="n">
        <v>249</v>
      </c>
      <c r="Z974" t="n">
        <v>191</v>
      </c>
      <c r="AA974" t="n">
        <v>196</v>
      </c>
      <c r="AB974" t="n">
        <v>2</v>
      </c>
      <c r="AC974" t="n">
        <v>2</v>
      </c>
      <c r="AD974" t="n">
        <v>17</v>
      </c>
      <c r="AE974" t="n">
        <v>17</v>
      </c>
      <c r="AF974" t="n">
        <v>5</v>
      </c>
      <c r="AG974" t="n">
        <v>5</v>
      </c>
      <c r="AH974" t="n">
        <v>2</v>
      </c>
      <c r="AI974" t="n">
        <v>2</v>
      </c>
      <c r="AJ974" t="n">
        <v>12</v>
      </c>
      <c r="AK974" t="n">
        <v>12</v>
      </c>
      <c r="AL974" t="n">
        <v>1</v>
      </c>
      <c r="AM974" t="n">
        <v>1</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HYPERLINK("https://creighton-primo.hosted.exlibrisgroup.com/primo-explore/search?tab=default_tab&amp;search_scope=EVERYTHING&amp;vid=01CRU&amp;lang=en_US&amp;offset=0&amp;query=any,contains,991001132129702656","Catalog Record")</f>
        <v/>
      </c>
      <c r="AT974">
        <f>HYPERLINK("http://www.worldcat.org/oclc/16683977","WorldCat Record")</f>
        <v/>
      </c>
      <c r="AU974" t="inlineStr">
        <is>
          <t>12653499:eng</t>
        </is>
      </c>
      <c r="AV974" t="inlineStr">
        <is>
          <t>16683977</t>
        </is>
      </c>
      <c r="AW974" t="inlineStr">
        <is>
          <t>991001132129702656</t>
        </is>
      </c>
      <c r="AX974" t="inlineStr">
        <is>
          <t>991001132129702656</t>
        </is>
      </c>
      <c r="AY974" t="inlineStr">
        <is>
          <t>2272779810002656</t>
        </is>
      </c>
      <c r="AZ974" t="inlineStr">
        <is>
          <t>BOOK</t>
        </is>
      </c>
      <c r="BB974" t="inlineStr">
        <is>
          <t>9780800620721</t>
        </is>
      </c>
      <c r="BC974" t="inlineStr">
        <is>
          <t>32285000566769</t>
        </is>
      </c>
      <c r="BD974" t="inlineStr">
        <is>
          <t>893797321</t>
        </is>
      </c>
    </row>
    <row r="975">
      <c r="A975" t="inlineStr">
        <is>
          <t>No</t>
        </is>
      </c>
      <c r="B975" t="inlineStr">
        <is>
          <t>BV600.2 .L327 1999</t>
        </is>
      </c>
      <c r="C975" t="inlineStr">
        <is>
          <t>0                      BV 0600200L  327         1999</t>
        </is>
      </c>
      <c r="D975" t="inlineStr">
        <is>
          <t>Holy people : a liturgical ecclesiology / Gordon W. Lathrop.</t>
        </is>
      </c>
      <c r="F975" t="inlineStr">
        <is>
          <t>No</t>
        </is>
      </c>
      <c r="G975" t="inlineStr">
        <is>
          <t>1</t>
        </is>
      </c>
      <c r="H975" t="inlineStr">
        <is>
          <t>No</t>
        </is>
      </c>
      <c r="I975" t="inlineStr">
        <is>
          <t>No</t>
        </is>
      </c>
      <c r="J975" t="inlineStr">
        <is>
          <t>0</t>
        </is>
      </c>
      <c r="K975" t="inlineStr">
        <is>
          <t>Lathrop, Gordon W., 1939-</t>
        </is>
      </c>
      <c r="L975" t="inlineStr">
        <is>
          <t>Minneapolis, MN : Fortress Press, c1999.</t>
        </is>
      </c>
      <c r="M975" t="inlineStr">
        <is>
          <t>1999</t>
        </is>
      </c>
      <c r="O975" t="inlineStr">
        <is>
          <t>eng</t>
        </is>
      </c>
      <c r="P975" t="inlineStr">
        <is>
          <t>mnu</t>
        </is>
      </c>
      <c r="R975" t="inlineStr">
        <is>
          <t xml:space="preserve">BV </t>
        </is>
      </c>
      <c r="S975" t="n">
        <v>2</v>
      </c>
      <c r="T975" t="n">
        <v>2</v>
      </c>
      <c r="U975" t="inlineStr">
        <is>
          <t>2000-09-13</t>
        </is>
      </c>
      <c r="V975" t="inlineStr">
        <is>
          <t>2000-09-13</t>
        </is>
      </c>
      <c r="W975" t="inlineStr">
        <is>
          <t>2000-09-13</t>
        </is>
      </c>
      <c r="X975" t="inlineStr">
        <is>
          <t>2000-09-13</t>
        </is>
      </c>
      <c r="Y975" t="n">
        <v>291</v>
      </c>
      <c r="Z975" t="n">
        <v>223</v>
      </c>
      <c r="AA975" t="n">
        <v>258</v>
      </c>
      <c r="AB975" t="n">
        <v>2</v>
      </c>
      <c r="AC975" t="n">
        <v>2</v>
      </c>
      <c r="AD975" t="n">
        <v>22</v>
      </c>
      <c r="AE975" t="n">
        <v>24</v>
      </c>
      <c r="AF975" t="n">
        <v>7</v>
      </c>
      <c r="AG975" t="n">
        <v>7</v>
      </c>
      <c r="AH975" t="n">
        <v>4</v>
      </c>
      <c r="AI975" t="n">
        <v>6</v>
      </c>
      <c r="AJ975" t="n">
        <v>13</v>
      </c>
      <c r="AK975" t="n">
        <v>14</v>
      </c>
      <c r="AL975" t="n">
        <v>1</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HYPERLINK("https://creighton-primo.hosted.exlibrisgroup.com/primo-explore/search?tab=default_tab&amp;search_scope=EVERYTHING&amp;vid=01CRU&amp;lang=en_US&amp;offset=0&amp;query=any,contains,991003218949702656","Catalog Record")</f>
        <v/>
      </c>
      <c r="AT975">
        <f>HYPERLINK("http://www.worldcat.org/oclc/40631850","WorldCat Record")</f>
        <v/>
      </c>
      <c r="AU975" t="inlineStr">
        <is>
          <t>4202636718:eng</t>
        </is>
      </c>
      <c r="AV975" t="inlineStr">
        <is>
          <t>40631850</t>
        </is>
      </c>
      <c r="AW975" t="inlineStr">
        <is>
          <t>991003218949702656</t>
        </is>
      </c>
      <c r="AX975" t="inlineStr">
        <is>
          <t>991003218949702656</t>
        </is>
      </c>
      <c r="AY975" t="inlineStr">
        <is>
          <t>2261927580002656</t>
        </is>
      </c>
      <c r="AZ975" t="inlineStr">
        <is>
          <t>BOOK</t>
        </is>
      </c>
      <c r="BB975" t="inlineStr">
        <is>
          <t>9780800631338</t>
        </is>
      </c>
      <c r="BC975" t="inlineStr">
        <is>
          <t>32285003761680</t>
        </is>
      </c>
      <c r="BD975" t="inlineStr">
        <is>
          <t>893348447</t>
        </is>
      </c>
    </row>
    <row r="976">
      <c r="A976" t="inlineStr">
        <is>
          <t>No</t>
        </is>
      </c>
      <c r="B976" t="inlineStr">
        <is>
          <t>BV600.2 .O35</t>
        </is>
      </c>
      <c r="C976" t="inlineStr">
        <is>
          <t>0                      BV 0600200O  35</t>
        </is>
      </c>
      <c r="D976" t="inlineStr">
        <is>
          <t>The Church in the theology of Karl Barth / Colm O'Grady.</t>
        </is>
      </c>
      <c r="F976" t="inlineStr">
        <is>
          <t>No</t>
        </is>
      </c>
      <c r="G976" t="inlineStr">
        <is>
          <t>1</t>
        </is>
      </c>
      <c r="H976" t="inlineStr">
        <is>
          <t>No</t>
        </is>
      </c>
      <c r="I976" t="inlineStr">
        <is>
          <t>No</t>
        </is>
      </c>
      <c r="J976" t="inlineStr">
        <is>
          <t>0</t>
        </is>
      </c>
      <c r="K976" t="inlineStr">
        <is>
          <t>O'Grady, Colm.</t>
        </is>
      </c>
      <c r="L976" t="inlineStr">
        <is>
          <t>Washington : Corpus Books, 1968.</t>
        </is>
      </c>
      <c r="M976" t="inlineStr">
        <is>
          <t>1968</t>
        </is>
      </c>
      <c r="O976" t="inlineStr">
        <is>
          <t>eng</t>
        </is>
      </c>
      <c r="P976" t="inlineStr">
        <is>
          <t>dcu</t>
        </is>
      </c>
      <c r="R976" t="inlineStr">
        <is>
          <t xml:space="preserve">BV </t>
        </is>
      </c>
      <c r="S976" t="n">
        <v>2</v>
      </c>
      <c r="T976" t="n">
        <v>2</v>
      </c>
      <c r="U976" t="inlineStr">
        <is>
          <t>1997-10-07</t>
        </is>
      </c>
      <c r="V976" t="inlineStr">
        <is>
          <t>1997-10-07</t>
        </is>
      </c>
      <c r="W976" t="inlineStr">
        <is>
          <t>1992-01-09</t>
        </is>
      </c>
      <c r="X976" t="inlineStr">
        <is>
          <t>1992-01-09</t>
        </is>
      </c>
      <c r="Y976" t="n">
        <v>265</v>
      </c>
      <c r="Z976" t="n">
        <v>246</v>
      </c>
      <c r="AA976" t="n">
        <v>400</v>
      </c>
      <c r="AB976" t="n">
        <v>5</v>
      </c>
      <c r="AC976" t="n">
        <v>5</v>
      </c>
      <c r="AD976" t="n">
        <v>22</v>
      </c>
      <c r="AE976" t="n">
        <v>33</v>
      </c>
      <c r="AF976" t="n">
        <v>6</v>
      </c>
      <c r="AG976" t="n">
        <v>10</v>
      </c>
      <c r="AH976" t="n">
        <v>5</v>
      </c>
      <c r="AI976" t="n">
        <v>8</v>
      </c>
      <c r="AJ976" t="n">
        <v>13</v>
      </c>
      <c r="AK976" t="n">
        <v>22</v>
      </c>
      <c r="AL976" t="n">
        <v>3</v>
      </c>
      <c r="AM976" t="n">
        <v>3</v>
      </c>
      <c r="AN976" t="n">
        <v>0</v>
      </c>
      <c r="AO976" t="n">
        <v>0</v>
      </c>
      <c r="AP976" t="inlineStr">
        <is>
          <t>No</t>
        </is>
      </c>
      <c r="AQ976" t="inlineStr">
        <is>
          <t>Yes</t>
        </is>
      </c>
      <c r="AR976">
        <f>HYPERLINK("http://catalog.hathitrust.org/Record/009814451","HathiTrust Record")</f>
        <v/>
      </c>
      <c r="AS976">
        <f>HYPERLINK("https://creighton-primo.hosted.exlibrisgroup.com/primo-explore/search?tab=default_tab&amp;search_scope=EVERYTHING&amp;vid=01CRU&amp;lang=en_US&amp;offset=0&amp;query=any,contains,991003978279702656","Catalog Record")</f>
        <v/>
      </c>
      <c r="AT976">
        <f>HYPERLINK("http://www.worldcat.org/oclc/2012941","WorldCat Record")</f>
        <v/>
      </c>
      <c r="AU976" t="inlineStr">
        <is>
          <t>1137058:eng</t>
        </is>
      </c>
      <c r="AV976" t="inlineStr">
        <is>
          <t>2012941</t>
        </is>
      </c>
      <c r="AW976" t="inlineStr">
        <is>
          <t>991003978279702656</t>
        </is>
      </c>
      <c r="AX976" t="inlineStr">
        <is>
          <t>991003978279702656</t>
        </is>
      </c>
      <c r="AY976" t="inlineStr">
        <is>
          <t>2266645500002656</t>
        </is>
      </c>
      <c r="AZ976" t="inlineStr">
        <is>
          <t>BOOK</t>
        </is>
      </c>
      <c r="BC976" t="inlineStr">
        <is>
          <t>32285000902964</t>
        </is>
      </c>
      <c r="BD976" t="inlineStr">
        <is>
          <t>893519118</t>
        </is>
      </c>
    </row>
    <row r="977">
      <c r="A977" t="inlineStr">
        <is>
          <t>No</t>
        </is>
      </c>
      <c r="B977" t="inlineStr">
        <is>
          <t>BV600.2 .P34513 1983</t>
        </is>
      </c>
      <c r="C977" t="inlineStr">
        <is>
          <t>0                      BV 0600200P  34513       1983</t>
        </is>
      </c>
      <c r="D977" t="inlineStr">
        <is>
          <t>The Church / by Wolfhart Pannenberg ; translated by Keith Crim.</t>
        </is>
      </c>
      <c r="F977" t="inlineStr">
        <is>
          <t>No</t>
        </is>
      </c>
      <c r="G977" t="inlineStr">
        <is>
          <t>1</t>
        </is>
      </c>
      <c r="H977" t="inlineStr">
        <is>
          <t>No</t>
        </is>
      </c>
      <c r="I977" t="inlineStr">
        <is>
          <t>No</t>
        </is>
      </c>
      <c r="J977" t="inlineStr">
        <is>
          <t>0</t>
        </is>
      </c>
      <c r="K977" t="inlineStr">
        <is>
          <t>Pannenberg, Wolfhart, 1928-2014.</t>
        </is>
      </c>
      <c r="L977" t="inlineStr">
        <is>
          <t>Philadelphia : Westminster Press, c1983.</t>
        </is>
      </c>
      <c r="M977" t="inlineStr">
        <is>
          <t>1983</t>
        </is>
      </c>
      <c r="O977" t="inlineStr">
        <is>
          <t>eng</t>
        </is>
      </c>
      <c r="P977" t="inlineStr">
        <is>
          <t>pau</t>
        </is>
      </c>
      <c r="R977" t="inlineStr">
        <is>
          <t xml:space="preserve">BV </t>
        </is>
      </c>
      <c r="S977" t="n">
        <v>4</v>
      </c>
      <c r="T977" t="n">
        <v>4</v>
      </c>
      <c r="U977" t="inlineStr">
        <is>
          <t>2005-11-02</t>
        </is>
      </c>
      <c r="V977" t="inlineStr">
        <is>
          <t>2005-11-02</t>
        </is>
      </c>
      <c r="W977" t="inlineStr">
        <is>
          <t>1992-01-09</t>
        </is>
      </c>
      <c r="X977" t="inlineStr">
        <is>
          <t>1992-01-09</t>
        </is>
      </c>
      <c r="Y977" t="n">
        <v>454</v>
      </c>
      <c r="Z977" t="n">
        <v>379</v>
      </c>
      <c r="AA977" t="n">
        <v>381</v>
      </c>
      <c r="AB977" t="n">
        <v>3</v>
      </c>
      <c r="AC977" t="n">
        <v>3</v>
      </c>
      <c r="AD977" t="n">
        <v>26</v>
      </c>
      <c r="AE977" t="n">
        <v>26</v>
      </c>
      <c r="AF977" t="n">
        <v>8</v>
      </c>
      <c r="AG977" t="n">
        <v>8</v>
      </c>
      <c r="AH977" t="n">
        <v>8</v>
      </c>
      <c r="AI977" t="n">
        <v>8</v>
      </c>
      <c r="AJ977" t="n">
        <v>16</v>
      </c>
      <c r="AK977" t="n">
        <v>16</v>
      </c>
      <c r="AL977" t="n">
        <v>2</v>
      </c>
      <c r="AM977" t="n">
        <v>2</v>
      </c>
      <c r="AN977" t="n">
        <v>0</v>
      </c>
      <c r="AO977" t="n">
        <v>0</v>
      </c>
      <c r="AP977" t="inlineStr">
        <is>
          <t>No</t>
        </is>
      </c>
      <c r="AQ977" t="inlineStr">
        <is>
          <t>Yes</t>
        </is>
      </c>
      <c r="AR977">
        <f>HYPERLINK("http://catalog.hathitrust.org/Record/000236288","HathiTrust Record")</f>
        <v/>
      </c>
      <c r="AS977">
        <f>HYPERLINK("https://creighton-primo.hosted.exlibrisgroup.com/primo-explore/search?tab=default_tab&amp;search_scope=EVERYTHING&amp;vid=01CRU&amp;lang=en_US&amp;offset=0&amp;query=any,contains,991000125369702656","Catalog Record")</f>
        <v/>
      </c>
      <c r="AT977">
        <f>HYPERLINK("http://www.worldcat.org/oclc/9082725","WorldCat Record")</f>
        <v/>
      </c>
      <c r="AU977" t="inlineStr">
        <is>
          <t>432391844:eng</t>
        </is>
      </c>
      <c r="AV977" t="inlineStr">
        <is>
          <t>9082725</t>
        </is>
      </c>
      <c r="AW977" t="inlineStr">
        <is>
          <t>991000125369702656</t>
        </is>
      </c>
      <c r="AX977" t="inlineStr">
        <is>
          <t>991000125369702656</t>
        </is>
      </c>
      <c r="AY977" t="inlineStr">
        <is>
          <t>2255164920002656</t>
        </is>
      </c>
      <c r="AZ977" t="inlineStr">
        <is>
          <t>BOOK</t>
        </is>
      </c>
      <c r="BB977" t="inlineStr">
        <is>
          <t>9780664244606</t>
        </is>
      </c>
      <c r="BC977" t="inlineStr">
        <is>
          <t>32285000902972</t>
        </is>
      </c>
      <c r="BD977" t="inlineStr">
        <is>
          <t>893333235</t>
        </is>
      </c>
    </row>
    <row r="978">
      <c r="A978" t="inlineStr">
        <is>
          <t>No</t>
        </is>
      </c>
      <c r="B978" t="inlineStr">
        <is>
          <t>BV600.2 .R333</t>
        </is>
      </c>
      <c r="C978" t="inlineStr">
        <is>
          <t>0                      BV 0600200R  333</t>
        </is>
      </c>
      <c r="D978" t="inlineStr">
        <is>
          <t>Theology for renewal : bishops, priests, laity / by Karl Rahner. Translated by Cecily Hastings and Richard Strachan.</t>
        </is>
      </c>
      <c r="F978" t="inlineStr">
        <is>
          <t>No</t>
        </is>
      </c>
      <c r="G978" t="inlineStr">
        <is>
          <t>1</t>
        </is>
      </c>
      <c r="H978" t="inlineStr">
        <is>
          <t>No</t>
        </is>
      </c>
      <c r="I978" t="inlineStr">
        <is>
          <t>No</t>
        </is>
      </c>
      <c r="J978" t="inlineStr">
        <is>
          <t>0</t>
        </is>
      </c>
      <c r="K978" t="inlineStr">
        <is>
          <t>Rahner, Karl, 1904-1984.</t>
        </is>
      </c>
      <c r="L978" t="inlineStr">
        <is>
          <t>New York, Sheed and Ward [c1964]</t>
        </is>
      </c>
      <c r="M978" t="inlineStr">
        <is>
          <t>1964</t>
        </is>
      </c>
      <c r="O978" t="inlineStr">
        <is>
          <t>eng</t>
        </is>
      </c>
      <c r="P978" t="inlineStr">
        <is>
          <t>nyu</t>
        </is>
      </c>
      <c r="R978" t="inlineStr">
        <is>
          <t xml:space="preserve">BV </t>
        </is>
      </c>
      <c r="S978" t="n">
        <v>8</v>
      </c>
      <c r="T978" t="n">
        <v>8</v>
      </c>
      <c r="U978" t="inlineStr">
        <is>
          <t>2004-04-29</t>
        </is>
      </c>
      <c r="V978" t="inlineStr">
        <is>
          <t>2004-04-29</t>
        </is>
      </c>
      <c r="W978" t="inlineStr">
        <is>
          <t>1992-01-09</t>
        </is>
      </c>
      <c r="X978" t="inlineStr">
        <is>
          <t>1992-01-09</t>
        </is>
      </c>
      <c r="Y978" t="n">
        <v>429</v>
      </c>
      <c r="Z978" t="n">
        <v>403</v>
      </c>
      <c r="AA978" t="n">
        <v>429</v>
      </c>
      <c r="AB978" t="n">
        <v>3</v>
      </c>
      <c r="AC978" t="n">
        <v>3</v>
      </c>
      <c r="AD978" t="n">
        <v>36</v>
      </c>
      <c r="AE978" t="n">
        <v>36</v>
      </c>
      <c r="AF978" t="n">
        <v>15</v>
      </c>
      <c r="AG978" t="n">
        <v>15</v>
      </c>
      <c r="AH978" t="n">
        <v>8</v>
      </c>
      <c r="AI978" t="n">
        <v>8</v>
      </c>
      <c r="AJ978" t="n">
        <v>25</v>
      </c>
      <c r="AK978" t="n">
        <v>25</v>
      </c>
      <c r="AL978" t="n">
        <v>1</v>
      </c>
      <c r="AM978" t="n">
        <v>1</v>
      </c>
      <c r="AN978" t="n">
        <v>0</v>
      </c>
      <c r="AO978" t="n">
        <v>0</v>
      </c>
      <c r="AP978" t="inlineStr">
        <is>
          <t>No</t>
        </is>
      </c>
      <c r="AQ978" t="inlineStr">
        <is>
          <t>Yes</t>
        </is>
      </c>
      <c r="AR978">
        <f>HYPERLINK("http://catalog.hathitrust.org/Record/006018533","HathiTrust Record")</f>
        <v/>
      </c>
      <c r="AS978">
        <f>HYPERLINK("https://creighton-primo.hosted.exlibrisgroup.com/primo-explore/search?tab=default_tab&amp;search_scope=EVERYTHING&amp;vid=01CRU&amp;lang=en_US&amp;offset=0&amp;query=any,contains,991003107809702656","Catalog Record")</f>
        <v/>
      </c>
      <c r="AT978">
        <f>HYPERLINK("http://www.worldcat.org/oclc/654989","WorldCat Record")</f>
        <v/>
      </c>
      <c r="AU978" t="inlineStr">
        <is>
          <t>2909035441:eng</t>
        </is>
      </c>
      <c r="AV978" t="inlineStr">
        <is>
          <t>654989</t>
        </is>
      </c>
      <c r="AW978" t="inlineStr">
        <is>
          <t>991003107809702656</t>
        </is>
      </c>
      <c r="AX978" t="inlineStr">
        <is>
          <t>991003107809702656</t>
        </is>
      </c>
      <c r="AY978" t="inlineStr">
        <is>
          <t>2262102160002656</t>
        </is>
      </c>
      <c r="AZ978" t="inlineStr">
        <is>
          <t>BOOK</t>
        </is>
      </c>
      <c r="BC978" t="inlineStr">
        <is>
          <t>32285000903046</t>
        </is>
      </c>
      <c r="BD978" t="inlineStr">
        <is>
          <t>893530854</t>
        </is>
      </c>
    </row>
    <row r="979">
      <c r="A979" t="inlineStr">
        <is>
          <t>No</t>
        </is>
      </c>
      <c r="B979" t="inlineStr">
        <is>
          <t>BV600.2 .R3413</t>
        </is>
      </c>
      <c r="C979" t="inlineStr">
        <is>
          <t>0                      BV 0600200R  3413</t>
        </is>
      </c>
      <c r="D979" t="inlineStr">
        <is>
          <t>Theology of pastoral action / by Karl Rahner. [Translated by W. J. O'Hara and adapted for an English-speaking audience by Daniel Morrissey.</t>
        </is>
      </c>
      <c r="F979" t="inlineStr">
        <is>
          <t>No</t>
        </is>
      </c>
      <c r="G979" t="inlineStr">
        <is>
          <t>1</t>
        </is>
      </c>
      <c r="H979" t="inlineStr">
        <is>
          <t>No</t>
        </is>
      </c>
      <c r="I979" t="inlineStr">
        <is>
          <t>No</t>
        </is>
      </c>
      <c r="J979" t="inlineStr">
        <is>
          <t>0</t>
        </is>
      </c>
      <c r="K979" t="inlineStr">
        <is>
          <t>Rahner, Karl, 1904-1984.</t>
        </is>
      </c>
      <c r="L979" t="inlineStr">
        <is>
          <t>New York] Herder and Herder [1968]</t>
        </is>
      </c>
      <c r="M979" t="inlineStr">
        <is>
          <t>1968</t>
        </is>
      </c>
      <c r="O979" t="inlineStr">
        <is>
          <t>eng</t>
        </is>
      </c>
      <c r="P979" t="inlineStr">
        <is>
          <t>nyu</t>
        </is>
      </c>
      <c r="Q979" t="inlineStr">
        <is>
          <t>Studies in pastoral theology ; v. 1</t>
        </is>
      </c>
      <c r="R979" t="inlineStr">
        <is>
          <t xml:space="preserve">BV </t>
        </is>
      </c>
      <c r="S979" t="n">
        <v>1</v>
      </c>
      <c r="T979" t="n">
        <v>1</v>
      </c>
      <c r="U979" t="inlineStr">
        <is>
          <t>2002-07-26</t>
        </is>
      </c>
      <c r="V979" t="inlineStr">
        <is>
          <t>2002-07-26</t>
        </is>
      </c>
      <c r="W979" t="inlineStr">
        <is>
          <t>1992-01-09</t>
        </is>
      </c>
      <c r="X979" t="inlineStr">
        <is>
          <t>1992-01-09</t>
        </is>
      </c>
      <c r="Y979" t="n">
        <v>279</v>
      </c>
      <c r="Z979" t="n">
        <v>240</v>
      </c>
      <c r="AA979" t="n">
        <v>251</v>
      </c>
      <c r="AB979" t="n">
        <v>2</v>
      </c>
      <c r="AC979" t="n">
        <v>2</v>
      </c>
      <c r="AD979" t="n">
        <v>28</v>
      </c>
      <c r="AE979" t="n">
        <v>28</v>
      </c>
      <c r="AF979" t="n">
        <v>9</v>
      </c>
      <c r="AG979" t="n">
        <v>9</v>
      </c>
      <c r="AH979" t="n">
        <v>8</v>
      </c>
      <c r="AI979" t="n">
        <v>8</v>
      </c>
      <c r="AJ979" t="n">
        <v>22</v>
      </c>
      <c r="AK979" t="n">
        <v>22</v>
      </c>
      <c r="AL979" t="n">
        <v>0</v>
      </c>
      <c r="AM979" t="n">
        <v>0</v>
      </c>
      <c r="AN979" t="n">
        <v>0</v>
      </c>
      <c r="AO979" t="n">
        <v>0</v>
      </c>
      <c r="AP979" t="inlineStr">
        <is>
          <t>No</t>
        </is>
      </c>
      <c r="AQ979" t="inlineStr">
        <is>
          <t>Yes</t>
        </is>
      </c>
      <c r="AR979">
        <f>HYPERLINK("http://catalog.hathitrust.org/Record/007853608","HathiTrust Record")</f>
        <v/>
      </c>
      <c r="AS979">
        <f>HYPERLINK("https://creighton-primo.hosted.exlibrisgroup.com/primo-explore/search?tab=default_tab&amp;search_scope=EVERYTHING&amp;vid=01CRU&amp;lang=en_US&amp;offset=0&amp;query=any,contains,991000377379702656","Catalog Record")</f>
        <v/>
      </c>
      <c r="AT979">
        <f>HYPERLINK("http://www.worldcat.org/oclc/72289","WorldCat Record")</f>
        <v/>
      </c>
      <c r="AU979" t="inlineStr">
        <is>
          <t>52124342:eng</t>
        </is>
      </c>
      <c r="AV979" t="inlineStr">
        <is>
          <t>72289</t>
        </is>
      </c>
      <c r="AW979" t="inlineStr">
        <is>
          <t>991000377379702656</t>
        </is>
      </c>
      <c r="AX979" t="inlineStr">
        <is>
          <t>991000377379702656</t>
        </is>
      </c>
      <c r="AY979" t="inlineStr">
        <is>
          <t>2271447360002656</t>
        </is>
      </c>
      <c r="AZ979" t="inlineStr">
        <is>
          <t>BOOK</t>
        </is>
      </c>
      <c r="BC979" t="inlineStr">
        <is>
          <t>32285000903053</t>
        </is>
      </c>
      <c r="BD979" t="inlineStr">
        <is>
          <t>893327242</t>
        </is>
      </c>
    </row>
    <row r="980">
      <c r="A980" t="inlineStr">
        <is>
          <t>No</t>
        </is>
      </c>
      <c r="B980" t="inlineStr">
        <is>
          <t>BV600.2 .R3613 1974</t>
        </is>
      </c>
      <c r="C980" t="inlineStr">
        <is>
          <t>0                      BV 0600200R  3613        1974</t>
        </is>
      </c>
      <c r="D980" t="inlineStr">
        <is>
          <t>The shape of the church to come / Translation and introd. by Edward Quinn.</t>
        </is>
      </c>
      <c r="F980" t="inlineStr">
        <is>
          <t>No</t>
        </is>
      </c>
      <c r="G980" t="inlineStr">
        <is>
          <t>1</t>
        </is>
      </c>
      <c r="H980" t="inlineStr">
        <is>
          <t>No</t>
        </is>
      </c>
      <c r="I980" t="inlineStr">
        <is>
          <t>No</t>
        </is>
      </c>
      <c r="J980" t="inlineStr">
        <is>
          <t>0</t>
        </is>
      </c>
      <c r="K980" t="inlineStr">
        <is>
          <t>Rahner, Karl, 1904-1984.</t>
        </is>
      </c>
      <c r="L980" t="inlineStr">
        <is>
          <t>New York : Seabury Press, [1974]</t>
        </is>
      </c>
      <c r="M980" t="inlineStr">
        <is>
          <t>1974</t>
        </is>
      </c>
      <c r="O980" t="inlineStr">
        <is>
          <t>eng</t>
        </is>
      </c>
      <c r="P980" t="inlineStr">
        <is>
          <t>nyu</t>
        </is>
      </c>
      <c r="R980" t="inlineStr">
        <is>
          <t xml:space="preserve">BV </t>
        </is>
      </c>
      <c r="S980" t="n">
        <v>6</v>
      </c>
      <c r="T980" t="n">
        <v>6</v>
      </c>
      <c r="U980" t="inlineStr">
        <is>
          <t>2004-05-04</t>
        </is>
      </c>
      <c r="V980" t="inlineStr">
        <is>
          <t>2004-05-04</t>
        </is>
      </c>
      <c r="W980" t="inlineStr">
        <is>
          <t>1992-01-09</t>
        </is>
      </c>
      <c r="X980" t="inlineStr">
        <is>
          <t>1992-01-09</t>
        </is>
      </c>
      <c r="Y980" t="n">
        <v>385</v>
      </c>
      <c r="Z980" t="n">
        <v>352</v>
      </c>
      <c r="AA980" t="n">
        <v>439</v>
      </c>
      <c r="AB980" t="n">
        <v>5</v>
      </c>
      <c r="AC980" t="n">
        <v>6</v>
      </c>
      <c r="AD980" t="n">
        <v>35</v>
      </c>
      <c r="AE980" t="n">
        <v>38</v>
      </c>
      <c r="AF980" t="n">
        <v>12</v>
      </c>
      <c r="AG980" t="n">
        <v>13</v>
      </c>
      <c r="AH980" t="n">
        <v>7</v>
      </c>
      <c r="AI980" t="n">
        <v>8</v>
      </c>
      <c r="AJ980" t="n">
        <v>27</v>
      </c>
      <c r="AK980" t="n">
        <v>27</v>
      </c>
      <c r="AL980" t="n">
        <v>2</v>
      </c>
      <c r="AM980" t="n">
        <v>3</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HYPERLINK("https://creighton-primo.hosted.exlibrisgroup.com/primo-explore/search?tab=default_tab&amp;search_scope=EVERYTHING&amp;vid=01CRU&amp;lang=en_US&amp;offset=0&amp;query=any,contains,991003385269702656","Catalog Record")</f>
        <v/>
      </c>
      <c r="AT980">
        <f>HYPERLINK("http://www.worldcat.org/oclc/922410","WorldCat Record")</f>
        <v/>
      </c>
      <c r="AU980" t="inlineStr">
        <is>
          <t>1151017911:eng</t>
        </is>
      </c>
      <c r="AV980" t="inlineStr">
        <is>
          <t>922410</t>
        </is>
      </c>
      <c r="AW980" t="inlineStr">
        <is>
          <t>991003385269702656</t>
        </is>
      </c>
      <c r="AX980" t="inlineStr">
        <is>
          <t>991003385269702656</t>
        </is>
      </c>
      <c r="AY980" t="inlineStr">
        <is>
          <t>2269769290002656</t>
        </is>
      </c>
      <c r="AZ980" t="inlineStr">
        <is>
          <t>BOOK</t>
        </is>
      </c>
      <c r="BB980" t="inlineStr">
        <is>
          <t>9780816411818</t>
        </is>
      </c>
      <c r="BC980" t="inlineStr">
        <is>
          <t>32285000903079</t>
        </is>
      </c>
      <c r="BD980" t="inlineStr">
        <is>
          <t>893881113</t>
        </is>
      </c>
    </row>
    <row r="981">
      <c r="A981" t="inlineStr">
        <is>
          <t>No</t>
        </is>
      </c>
      <c r="B981" t="inlineStr">
        <is>
          <t>BV600.2 .R49 1983</t>
        </is>
      </c>
      <c r="C981" t="inlineStr">
        <is>
          <t>0                      BV 0600200R  49          1983</t>
        </is>
      </c>
      <c r="D981" t="inlineStr">
        <is>
          <t>The nature and necessity of Christ's Church : an introduction to ecclesiology / Michael Richards.</t>
        </is>
      </c>
      <c r="F981" t="inlineStr">
        <is>
          <t>No</t>
        </is>
      </c>
      <c r="G981" t="inlineStr">
        <is>
          <t>1</t>
        </is>
      </c>
      <c r="H981" t="inlineStr">
        <is>
          <t>No</t>
        </is>
      </c>
      <c r="I981" t="inlineStr">
        <is>
          <t>No</t>
        </is>
      </c>
      <c r="J981" t="inlineStr">
        <is>
          <t>0</t>
        </is>
      </c>
      <c r="K981" t="inlineStr">
        <is>
          <t>Richards, Michael.</t>
        </is>
      </c>
      <c r="L981" t="inlineStr">
        <is>
          <t>New York, N.Y. : Alba House, c1983.</t>
        </is>
      </c>
      <c r="M981" t="inlineStr">
        <is>
          <t>1983</t>
        </is>
      </c>
      <c r="O981" t="inlineStr">
        <is>
          <t>eng</t>
        </is>
      </c>
      <c r="P981" t="inlineStr">
        <is>
          <t>nyu</t>
        </is>
      </c>
      <c r="R981" t="inlineStr">
        <is>
          <t xml:space="preserve">BV </t>
        </is>
      </c>
      <c r="S981" t="n">
        <v>5</v>
      </c>
      <c r="T981" t="n">
        <v>5</v>
      </c>
      <c r="U981" t="inlineStr">
        <is>
          <t>2002-12-04</t>
        </is>
      </c>
      <c r="V981" t="inlineStr">
        <is>
          <t>2002-12-04</t>
        </is>
      </c>
      <c r="W981" t="inlineStr">
        <is>
          <t>1990-05-08</t>
        </is>
      </c>
      <c r="X981" t="inlineStr">
        <is>
          <t>1990-05-08</t>
        </is>
      </c>
      <c r="Y981" t="n">
        <v>88</v>
      </c>
      <c r="Z981" t="n">
        <v>79</v>
      </c>
      <c r="AA981" t="n">
        <v>79</v>
      </c>
      <c r="AB981" t="n">
        <v>2</v>
      </c>
      <c r="AC981" t="n">
        <v>2</v>
      </c>
      <c r="AD981" t="n">
        <v>13</v>
      </c>
      <c r="AE981" t="n">
        <v>13</v>
      </c>
      <c r="AF981" t="n">
        <v>3</v>
      </c>
      <c r="AG981" t="n">
        <v>3</v>
      </c>
      <c r="AH981" t="n">
        <v>5</v>
      </c>
      <c r="AI981" t="n">
        <v>5</v>
      </c>
      <c r="AJ981" t="n">
        <v>10</v>
      </c>
      <c r="AK981" t="n">
        <v>10</v>
      </c>
      <c r="AL981" t="n">
        <v>0</v>
      </c>
      <c r="AM981" t="n">
        <v>0</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HYPERLINK("https://creighton-primo.hosted.exlibrisgroup.com/primo-explore/search?tab=default_tab&amp;search_scope=EVERYTHING&amp;vid=01CRU&amp;lang=en_US&amp;offset=0&amp;query=any,contains,991000153749702656","Catalog Record")</f>
        <v/>
      </c>
      <c r="AT981">
        <f>HYPERLINK("http://www.worldcat.org/oclc/9219290","WorldCat Record")</f>
        <v/>
      </c>
      <c r="AU981" t="inlineStr">
        <is>
          <t>43007866:eng</t>
        </is>
      </c>
      <c r="AV981" t="inlineStr">
        <is>
          <t>9219290</t>
        </is>
      </c>
      <c r="AW981" t="inlineStr">
        <is>
          <t>991000153749702656</t>
        </is>
      </c>
      <c r="AX981" t="inlineStr">
        <is>
          <t>991000153749702656</t>
        </is>
      </c>
      <c r="AY981" t="inlineStr">
        <is>
          <t>2268379430002656</t>
        </is>
      </c>
      <c r="AZ981" t="inlineStr">
        <is>
          <t>BOOK</t>
        </is>
      </c>
      <c r="BB981" t="inlineStr">
        <is>
          <t>9780818904585</t>
        </is>
      </c>
      <c r="BC981" t="inlineStr">
        <is>
          <t>32285000150523</t>
        </is>
      </c>
      <c r="BD981" t="inlineStr">
        <is>
          <t>893683201</t>
        </is>
      </c>
    </row>
    <row r="982">
      <c r="A982" t="inlineStr">
        <is>
          <t>No</t>
        </is>
      </c>
      <c r="B982" t="inlineStr">
        <is>
          <t>BV600.2 .R6</t>
        </is>
      </c>
      <c r="C982" t="inlineStr">
        <is>
          <t>0                      BV 0600200R  6</t>
        </is>
      </c>
      <c r="D982" t="inlineStr">
        <is>
          <t>On being the Church in the world / [by] John A. T. Robinson.</t>
        </is>
      </c>
      <c r="F982" t="inlineStr">
        <is>
          <t>No</t>
        </is>
      </c>
      <c r="G982" t="inlineStr">
        <is>
          <t>1</t>
        </is>
      </c>
      <c r="H982" t="inlineStr">
        <is>
          <t>No</t>
        </is>
      </c>
      <c r="I982" t="inlineStr">
        <is>
          <t>No</t>
        </is>
      </c>
      <c r="J982" t="inlineStr">
        <is>
          <t>0</t>
        </is>
      </c>
      <c r="K982" t="inlineStr">
        <is>
          <t>Robinson, John A. T. (John Arthur Thomas), 1919-1983.</t>
        </is>
      </c>
      <c r="L982" t="inlineStr">
        <is>
          <t>Philadelphia, Westminster Press, [c1960]</t>
        </is>
      </c>
      <c r="M982" t="inlineStr">
        <is>
          <t>1960</t>
        </is>
      </c>
      <c r="O982" t="inlineStr">
        <is>
          <t>eng</t>
        </is>
      </c>
      <c r="P982" t="inlineStr">
        <is>
          <t>___</t>
        </is>
      </c>
      <c r="R982" t="inlineStr">
        <is>
          <t xml:space="preserve">BV </t>
        </is>
      </c>
      <c r="S982" t="n">
        <v>1</v>
      </c>
      <c r="T982" t="n">
        <v>1</v>
      </c>
      <c r="U982" t="inlineStr">
        <is>
          <t>2005-11-02</t>
        </is>
      </c>
      <c r="V982" t="inlineStr">
        <is>
          <t>2005-11-02</t>
        </is>
      </c>
      <c r="W982" t="inlineStr">
        <is>
          <t>1992-01-09</t>
        </is>
      </c>
      <c r="X982" t="inlineStr">
        <is>
          <t>1992-01-09</t>
        </is>
      </c>
      <c r="Y982" t="n">
        <v>263</v>
      </c>
      <c r="Z982" t="n">
        <v>253</v>
      </c>
      <c r="AA982" t="n">
        <v>348</v>
      </c>
      <c r="AB982" t="n">
        <v>1</v>
      </c>
      <c r="AC982" t="n">
        <v>1</v>
      </c>
      <c r="AD982" t="n">
        <v>20</v>
      </c>
      <c r="AE982" t="n">
        <v>24</v>
      </c>
      <c r="AF982" t="n">
        <v>8</v>
      </c>
      <c r="AG982" t="n">
        <v>8</v>
      </c>
      <c r="AH982" t="n">
        <v>4</v>
      </c>
      <c r="AI982" t="n">
        <v>6</v>
      </c>
      <c r="AJ982" t="n">
        <v>13</v>
      </c>
      <c r="AK982" t="n">
        <v>17</v>
      </c>
      <c r="AL982" t="n">
        <v>0</v>
      </c>
      <c r="AM982" t="n">
        <v>0</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HYPERLINK("https://creighton-primo.hosted.exlibrisgroup.com/primo-explore/search?tab=default_tab&amp;search_scope=EVERYTHING&amp;vid=01CRU&amp;lang=en_US&amp;offset=0&amp;query=any,contains,991003743769702656","Catalog Record")</f>
        <v/>
      </c>
      <c r="AT982">
        <f>HYPERLINK("http://www.worldcat.org/oclc/1411791","WorldCat Record")</f>
        <v/>
      </c>
      <c r="AU982" t="inlineStr">
        <is>
          <t>102713929:eng</t>
        </is>
      </c>
      <c r="AV982" t="inlineStr">
        <is>
          <t>1411791</t>
        </is>
      </c>
      <c r="AW982" t="inlineStr">
        <is>
          <t>991003743769702656</t>
        </is>
      </c>
      <c r="AX982" t="inlineStr">
        <is>
          <t>991003743769702656</t>
        </is>
      </c>
      <c r="AY982" t="inlineStr">
        <is>
          <t>2256086370002656</t>
        </is>
      </c>
      <c r="AZ982" t="inlineStr">
        <is>
          <t>BOOK</t>
        </is>
      </c>
      <c r="BC982" t="inlineStr">
        <is>
          <t>32285000903087</t>
        </is>
      </c>
      <c r="BD982" t="inlineStr">
        <is>
          <t>893410633</t>
        </is>
      </c>
    </row>
    <row r="983">
      <c r="A983" t="inlineStr">
        <is>
          <t>No</t>
        </is>
      </c>
      <c r="B983" t="inlineStr">
        <is>
          <t>BV600.2 .R867 1993</t>
        </is>
      </c>
      <c r="C983" t="inlineStr">
        <is>
          <t>0                      BV 0600200R  867         1993</t>
        </is>
      </c>
      <c r="D983" t="inlineStr">
        <is>
          <t>Church in the round : feminist interpretation of the church / Letty M. Russell.</t>
        </is>
      </c>
      <c r="F983" t="inlineStr">
        <is>
          <t>No</t>
        </is>
      </c>
      <c r="G983" t="inlineStr">
        <is>
          <t>1</t>
        </is>
      </c>
      <c r="H983" t="inlineStr">
        <is>
          <t>No</t>
        </is>
      </c>
      <c r="I983" t="inlineStr">
        <is>
          <t>No</t>
        </is>
      </c>
      <c r="J983" t="inlineStr">
        <is>
          <t>0</t>
        </is>
      </c>
      <c r="K983" t="inlineStr">
        <is>
          <t>Russell, Letty M.</t>
        </is>
      </c>
      <c r="L983" t="inlineStr">
        <is>
          <t>Louisville, Ky. : Westminster/J. Knox Press, c1993.</t>
        </is>
      </c>
      <c r="M983" t="inlineStr">
        <is>
          <t>1993</t>
        </is>
      </c>
      <c r="N983" t="inlineStr">
        <is>
          <t>1st ed.</t>
        </is>
      </c>
      <c r="O983" t="inlineStr">
        <is>
          <t>eng</t>
        </is>
      </c>
      <c r="P983" t="inlineStr">
        <is>
          <t>kyu</t>
        </is>
      </c>
      <c r="R983" t="inlineStr">
        <is>
          <t xml:space="preserve">BV </t>
        </is>
      </c>
      <c r="S983" t="n">
        <v>7</v>
      </c>
      <c r="T983" t="n">
        <v>7</v>
      </c>
      <c r="U983" t="inlineStr">
        <is>
          <t>2005-06-27</t>
        </is>
      </c>
      <c r="V983" t="inlineStr">
        <is>
          <t>2005-06-27</t>
        </is>
      </c>
      <c r="W983" t="inlineStr">
        <is>
          <t>1994-04-21</t>
        </is>
      </c>
      <c r="X983" t="inlineStr">
        <is>
          <t>1994-04-21</t>
        </is>
      </c>
      <c r="Y983" t="n">
        <v>630</v>
      </c>
      <c r="Z983" t="n">
        <v>543</v>
      </c>
      <c r="AA983" t="n">
        <v>862</v>
      </c>
      <c r="AB983" t="n">
        <v>7</v>
      </c>
      <c r="AC983" t="n">
        <v>7</v>
      </c>
      <c r="AD983" t="n">
        <v>41</v>
      </c>
      <c r="AE983" t="n">
        <v>42</v>
      </c>
      <c r="AF983" t="n">
        <v>19</v>
      </c>
      <c r="AG983" t="n">
        <v>20</v>
      </c>
      <c r="AH983" t="n">
        <v>8</v>
      </c>
      <c r="AI983" t="n">
        <v>8</v>
      </c>
      <c r="AJ983" t="n">
        <v>22</v>
      </c>
      <c r="AK983" t="n">
        <v>22</v>
      </c>
      <c r="AL983" t="n">
        <v>5</v>
      </c>
      <c r="AM983" t="n">
        <v>5</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HYPERLINK("https://creighton-primo.hosted.exlibrisgroup.com/primo-explore/search?tab=default_tab&amp;search_scope=EVERYTHING&amp;vid=01CRU&amp;lang=en_US&amp;offset=0&amp;query=any,contains,991002141599702656","Catalog Record")</f>
        <v/>
      </c>
      <c r="AT983">
        <f>HYPERLINK("http://www.worldcat.org/oclc/27432428","WorldCat Record")</f>
        <v/>
      </c>
      <c r="AU983" t="inlineStr">
        <is>
          <t>793469590:eng</t>
        </is>
      </c>
      <c r="AV983" t="inlineStr">
        <is>
          <t>27432428</t>
        </is>
      </c>
      <c r="AW983" t="inlineStr">
        <is>
          <t>991002141599702656</t>
        </is>
      </c>
      <c r="AX983" t="inlineStr">
        <is>
          <t>991002141599702656</t>
        </is>
      </c>
      <c r="AY983" t="inlineStr">
        <is>
          <t>2264972610002656</t>
        </is>
      </c>
      <c r="AZ983" t="inlineStr">
        <is>
          <t>BOOK</t>
        </is>
      </c>
      <c r="BB983" t="inlineStr">
        <is>
          <t>9780664250706</t>
        </is>
      </c>
      <c r="BC983" t="inlineStr">
        <is>
          <t>32285001876357</t>
        </is>
      </c>
      <c r="BD983" t="inlineStr">
        <is>
          <t>893529592</t>
        </is>
      </c>
    </row>
    <row r="984">
      <c r="A984" t="inlineStr">
        <is>
          <t>No</t>
        </is>
      </c>
      <c r="B984" t="inlineStr">
        <is>
          <t>BV600.2 .W494 2004</t>
        </is>
      </c>
      <c r="C984" t="inlineStr">
        <is>
          <t>0                      BV 0600200W  494         2004</t>
        </is>
      </c>
      <c r="D984" t="inlineStr">
        <is>
          <t>Living the faith community / John H. Westerhoff, III.</t>
        </is>
      </c>
      <c r="F984" t="inlineStr">
        <is>
          <t>No</t>
        </is>
      </c>
      <c r="G984" t="inlineStr">
        <is>
          <t>1</t>
        </is>
      </c>
      <c r="H984" t="inlineStr">
        <is>
          <t>No</t>
        </is>
      </c>
      <c r="I984" t="inlineStr">
        <is>
          <t>No</t>
        </is>
      </c>
      <c r="J984" t="inlineStr">
        <is>
          <t>0</t>
        </is>
      </c>
      <c r="K984" t="inlineStr">
        <is>
          <t>Westerhoff, John H., III, 1933-</t>
        </is>
      </c>
      <c r="L984" t="inlineStr">
        <is>
          <t>New York : Church Pub., 2004.</t>
        </is>
      </c>
      <c r="M984" t="inlineStr">
        <is>
          <t>2004</t>
        </is>
      </c>
      <c r="O984" t="inlineStr">
        <is>
          <t>eng</t>
        </is>
      </c>
      <c r="P984" t="inlineStr">
        <is>
          <t>nyu</t>
        </is>
      </c>
      <c r="Q984" t="inlineStr">
        <is>
          <t>Seabury Classics</t>
        </is>
      </c>
      <c r="R984" t="inlineStr">
        <is>
          <t xml:space="preserve">BV </t>
        </is>
      </c>
      <c r="S984" t="n">
        <v>2</v>
      </c>
      <c r="T984" t="n">
        <v>2</v>
      </c>
      <c r="U984" t="inlineStr">
        <is>
          <t>2007-03-21</t>
        </is>
      </c>
      <c r="V984" t="inlineStr">
        <is>
          <t>2007-03-21</t>
        </is>
      </c>
      <c r="W984" t="inlineStr">
        <is>
          <t>2007-03-21</t>
        </is>
      </c>
      <c r="X984" t="inlineStr">
        <is>
          <t>2007-03-21</t>
        </is>
      </c>
      <c r="Y984" t="n">
        <v>37</v>
      </c>
      <c r="Z984" t="n">
        <v>34</v>
      </c>
      <c r="AA984" t="n">
        <v>179</v>
      </c>
      <c r="AB984" t="n">
        <v>1</v>
      </c>
      <c r="AC984" t="n">
        <v>2</v>
      </c>
      <c r="AD984" t="n">
        <v>2</v>
      </c>
      <c r="AE984" t="n">
        <v>14</v>
      </c>
      <c r="AF984" t="n">
        <v>2</v>
      </c>
      <c r="AG984" t="n">
        <v>7</v>
      </c>
      <c r="AH984" t="n">
        <v>0</v>
      </c>
      <c r="AI984" t="n">
        <v>2</v>
      </c>
      <c r="AJ984" t="n">
        <v>0</v>
      </c>
      <c r="AK984" t="n">
        <v>7</v>
      </c>
      <c r="AL984" t="n">
        <v>0</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HYPERLINK("https://creighton-primo.hosted.exlibrisgroup.com/primo-explore/search?tab=default_tab&amp;search_scope=EVERYTHING&amp;vid=01CRU&amp;lang=en_US&amp;offset=0&amp;query=any,contains,991005041689702656","Catalog Record")</f>
        <v/>
      </c>
      <c r="AT984">
        <f>HYPERLINK("http://www.worldcat.org/oclc/57178076","WorldCat Record")</f>
        <v/>
      </c>
      <c r="AU984" t="inlineStr">
        <is>
          <t>5578636:eng</t>
        </is>
      </c>
      <c r="AV984" t="inlineStr">
        <is>
          <t>57178076</t>
        </is>
      </c>
      <c r="AW984" t="inlineStr">
        <is>
          <t>991005041689702656</t>
        </is>
      </c>
      <c r="AX984" t="inlineStr">
        <is>
          <t>991005041689702656</t>
        </is>
      </c>
      <c r="AY984" t="inlineStr">
        <is>
          <t>2257186760002656</t>
        </is>
      </c>
      <c r="AZ984" t="inlineStr">
        <is>
          <t>BOOK</t>
        </is>
      </c>
      <c r="BB984" t="inlineStr">
        <is>
          <t>9781596280038</t>
        </is>
      </c>
      <c r="BC984" t="inlineStr">
        <is>
          <t>32285005282263</t>
        </is>
      </c>
      <c r="BD984" t="inlineStr">
        <is>
          <t>893688509</t>
        </is>
      </c>
    </row>
    <row r="985">
      <c r="A985" t="inlineStr">
        <is>
          <t>No</t>
        </is>
      </c>
      <c r="B985" t="inlineStr">
        <is>
          <t>BV600.2 .Y685 2000</t>
        </is>
      </c>
      <c r="C985" t="inlineStr">
        <is>
          <t>0                      BV 0600200Y  685         2000</t>
        </is>
      </c>
      <c r="D985" t="inlineStr">
        <is>
          <t>Re-creating the church : communities of eros / Pamela Dickey Young.</t>
        </is>
      </c>
      <c r="F985" t="inlineStr">
        <is>
          <t>No</t>
        </is>
      </c>
      <c r="G985" t="inlineStr">
        <is>
          <t>1</t>
        </is>
      </c>
      <c r="H985" t="inlineStr">
        <is>
          <t>No</t>
        </is>
      </c>
      <c r="I985" t="inlineStr">
        <is>
          <t>No</t>
        </is>
      </c>
      <c r="J985" t="inlineStr">
        <is>
          <t>0</t>
        </is>
      </c>
      <c r="K985" t="inlineStr">
        <is>
          <t>Young, Pamela Dickey, 1955-</t>
        </is>
      </c>
      <c r="L985" t="inlineStr">
        <is>
          <t>Harrisburg, Pa. : Trinity Press International, c2000.</t>
        </is>
      </c>
      <c r="M985" t="inlineStr">
        <is>
          <t>2000</t>
        </is>
      </c>
      <c r="O985" t="inlineStr">
        <is>
          <t>eng</t>
        </is>
      </c>
      <c r="P985" t="inlineStr">
        <is>
          <t>pau</t>
        </is>
      </c>
      <c r="R985" t="inlineStr">
        <is>
          <t xml:space="preserve">BV </t>
        </is>
      </c>
      <c r="S985" t="n">
        <v>3</v>
      </c>
      <c r="T985" t="n">
        <v>3</v>
      </c>
      <c r="U985" t="inlineStr">
        <is>
          <t>2004-04-29</t>
        </is>
      </c>
      <c r="V985" t="inlineStr">
        <is>
          <t>2004-04-29</t>
        </is>
      </c>
      <c r="W985" t="inlineStr">
        <is>
          <t>2001-05-01</t>
        </is>
      </c>
      <c r="X985" t="inlineStr">
        <is>
          <t>2001-05-01</t>
        </is>
      </c>
      <c r="Y985" t="n">
        <v>176</v>
      </c>
      <c r="Z985" t="n">
        <v>147</v>
      </c>
      <c r="AA985" t="n">
        <v>147</v>
      </c>
      <c r="AB985" t="n">
        <v>3</v>
      </c>
      <c r="AC985" t="n">
        <v>3</v>
      </c>
      <c r="AD985" t="n">
        <v>16</v>
      </c>
      <c r="AE985" t="n">
        <v>16</v>
      </c>
      <c r="AF985" t="n">
        <v>5</v>
      </c>
      <c r="AG985" t="n">
        <v>5</v>
      </c>
      <c r="AH985" t="n">
        <v>3</v>
      </c>
      <c r="AI985" t="n">
        <v>3</v>
      </c>
      <c r="AJ985" t="n">
        <v>12</v>
      </c>
      <c r="AK985" t="n">
        <v>12</v>
      </c>
      <c r="AL985" t="n">
        <v>2</v>
      </c>
      <c r="AM985" t="n">
        <v>2</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HYPERLINK("https://creighton-primo.hosted.exlibrisgroup.com/primo-explore/search?tab=default_tab&amp;search_scope=EVERYTHING&amp;vid=01CRU&amp;lang=en_US&amp;offset=0&amp;query=any,contains,991003531199702656","Catalog Record")</f>
        <v/>
      </c>
      <c r="AT985">
        <f>HYPERLINK("http://www.worldcat.org/oclc/43751897","WorldCat Record")</f>
        <v/>
      </c>
      <c r="AU985" t="inlineStr">
        <is>
          <t>1083601105:eng</t>
        </is>
      </c>
      <c r="AV985" t="inlineStr">
        <is>
          <t>43751897</t>
        </is>
      </c>
      <c r="AW985" t="inlineStr">
        <is>
          <t>991003531199702656</t>
        </is>
      </c>
      <c r="AX985" t="inlineStr">
        <is>
          <t>991003531199702656</t>
        </is>
      </c>
      <c r="AY985" t="inlineStr">
        <is>
          <t>2264333600002656</t>
        </is>
      </c>
      <c r="AZ985" t="inlineStr">
        <is>
          <t>BOOK</t>
        </is>
      </c>
      <c r="BB985" t="inlineStr">
        <is>
          <t>9781563383205</t>
        </is>
      </c>
      <c r="BC985" t="inlineStr">
        <is>
          <t>32285004315601</t>
        </is>
      </c>
      <c r="BD985" t="inlineStr">
        <is>
          <t>893531270</t>
        </is>
      </c>
    </row>
    <row r="986">
      <c r="A986" t="inlineStr">
        <is>
          <t>No</t>
        </is>
      </c>
      <c r="B986" t="inlineStr">
        <is>
          <t>BV600.2 .Z54 1983</t>
        </is>
      </c>
      <c r="C986" t="inlineStr">
        <is>
          <t>0                      BV 0600200Z  54          1983</t>
        </is>
      </c>
      <c r="D986" t="inlineStr">
        <is>
          <t>Discovering the church / by Barbara Brown Zikmund.</t>
        </is>
      </c>
      <c r="F986" t="inlineStr">
        <is>
          <t>No</t>
        </is>
      </c>
      <c r="G986" t="inlineStr">
        <is>
          <t>1</t>
        </is>
      </c>
      <c r="H986" t="inlineStr">
        <is>
          <t>No</t>
        </is>
      </c>
      <c r="I986" t="inlineStr">
        <is>
          <t>No</t>
        </is>
      </c>
      <c r="J986" t="inlineStr">
        <is>
          <t>0</t>
        </is>
      </c>
      <c r="K986" t="inlineStr">
        <is>
          <t>Zikmund, Barbara Brown.</t>
        </is>
      </c>
      <c r="L986" t="inlineStr">
        <is>
          <t>Philadelphia : Westminster Press, c1983.</t>
        </is>
      </c>
      <c r="M986" t="inlineStr">
        <is>
          <t>1983</t>
        </is>
      </c>
      <c r="N986" t="inlineStr">
        <is>
          <t>1st ed.</t>
        </is>
      </c>
      <c r="O986" t="inlineStr">
        <is>
          <t>eng</t>
        </is>
      </c>
      <c r="P986" t="inlineStr">
        <is>
          <t>pau</t>
        </is>
      </c>
      <c r="Q986" t="inlineStr">
        <is>
          <t>Library of living faith</t>
        </is>
      </c>
      <c r="R986" t="inlineStr">
        <is>
          <t xml:space="preserve">BV </t>
        </is>
      </c>
      <c r="S986" t="n">
        <v>4</v>
      </c>
      <c r="T986" t="n">
        <v>4</v>
      </c>
      <c r="U986" t="inlineStr">
        <is>
          <t>2002-12-04</t>
        </is>
      </c>
      <c r="V986" t="inlineStr">
        <is>
          <t>2002-12-04</t>
        </is>
      </c>
      <c r="W986" t="inlineStr">
        <is>
          <t>1992-01-09</t>
        </is>
      </c>
      <c r="X986" t="inlineStr">
        <is>
          <t>1992-01-09</t>
        </is>
      </c>
      <c r="Y986" t="n">
        <v>171</v>
      </c>
      <c r="Z986" t="n">
        <v>155</v>
      </c>
      <c r="AA986" t="n">
        <v>155</v>
      </c>
      <c r="AB986" t="n">
        <v>1</v>
      </c>
      <c r="AC986" t="n">
        <v>1</v>
      </c>
      <c r="AD986" t="n">
        <v>4</v>
      </c>
      <c r="AE986" t="n">
        <v>4</v>
      </c>
      <c r="AF986" t="n">
        <v>2</v>
      </c>
      <c r="AG986" t="n">
        <v>2</v>
      </c>
      <c r="AH986" t="n">
        <v>0</v>
      </c>
      <c r="AI986" t="n">
        <v>0</v>
      </c>
      <c r="AJ986" t="n">
        <v>2</v>
      </c>
      <c r="AK986" t="n">
        <v>2</v>
      </c>
      <c r="AL986" t="n">
        <v>0</v>
      </c>
      <c r="AM986" t="n">
        <v>0</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HYPERLINK("https://creighton-primo.hosted.exlibrisgroup.com/primo-explore/search?tab=default_tab&amp;search_scope=EVERYTHING&amp;vid=01CRU&amp;lang=en_US&amp;offset=0&amp;query=any,contains,991000129419702656","Catalog Record")</f>
        <v/>
      </c>
      <c r="AT986">
        <f>HYPERLINK("http://www.worldcat.org/oclc/9110444","WorldCat Record")</f>
        <v/>
      </c>
      <c r="AU986" t="inlineStr">
        <is>
          <t>176241849:eng</t>
        </is>
      </c>
      <c r="AV986" t="inlineStr">
        <is>
          <t>9110444</t>
        </is>
      </c>
      <c r="AW986" t="inlineStr">
        <is>
          <t>991000129419702656</t>
        </is>
      </c>
      <c r="AX986" t="inlineStr">
        <is>
          <t>991000129419702656</t>
        </is>
      </c>
      <c r="AY986" t="inlineStr">
        <is>
          <t>2268734410002656</t>
        </is>
      </c>
      <c r="AZ986" t="inlineStr">
        <is>
          <t>BOOK</t>
        </is>
      </c>
      <c r="BB986" t="inlineStr">
        <is>
          <t>9780664244415</t>
        </is>
      </c>
      <c r="BC986" t="inlineStr">
        <is>
          <t>32285000903137</t>
        </is>
      </c>
      <c r="BD986" t="inlineStr">
        <is>
          <t>893515036</t>
        </is>
      </c>
    </row>
    <row r="987">
      <c r="A987" t="inlineStr">
        <is>
          <t>No</t>
        </is>
      </c>
      <c r="B987" t="inlineStr">
        <is>
          <t>BV600.3 .K37 2002</t>
        </is>
      </c>
      <c r="C987" t="inlineStr">
        <is>
          <t>0                      BV 0600300K  37          2002</t>
        </is>
      </c>
      <c r="D987" t="inlineStr">
        <is>
          <t>Introduction to ecclesiology : ecumenical, historical &amp; global perspectives / Veli-Matti Kärkkäinen.</t>
        </is>
      </c>
      <c r="F987" t="inlineStr">
        <is>
          <t>No</t>
        </is>
      </c>
      <c r="G987" t="inlineStr">
        <is>
          <t>1</t>
        </is>
      </c>
      <c r="H987" t="inlineStr">
        <is>
          <t>No</t>
        </is>
      </c>
      <c r="I987" t="inlineStr">
        <is>
          <t>No</t>
        </is>
      </c>
      <c r="J987" t="inlineStr">
        <is>
          <t>0</t>
        </is>
      </c>
      <c r="K987" t="inlineStr">
        <is>
          <t>Kärkkäinen, Veli-Matti.</t>
        </is>
      </c>
      <c r="L987" t="inlineStr">
        <is>
          <t>Downers Grove, Ill. : InterVarsity Press, c2002.</t>
        </is>
      </c>
      <c r="M987" t="inlineStr">
        <is>
          <t>2002</t>
        </is>
      </c>
      <c r="O987" t="inlineStr">
        <is>
          <t>eng</t>
        </is>
      </c>
      <c r="P987" t="inlineStr">
        <is>
          <t>ilu</t>
        </is>
      </c>
      <c r="R987" t="inlineStr">
        <is>
          <t xml:space="preserve">BV </t>
        </is>
      </c>
      <c r="S987" t="n">
        <v>9</v>
      </c>
      <c r="T987" t="n">
        <v>9</v>
      </c>
      <c r="U987" t="inlineStr">
        <is>
          <t>2009-06-29</t>
        </is>
      </c>
      <c r="V987" t="inlineStr">
        <is>
          <t>2009-06-29</t>
        </is>
      </c>
      <c r="W987" t="inlineStr">
        <is>
          <t>2003-11-05</t>
        </is>
      </c>
      <c r="X987" t="inlineStr">
        <is>
          <t>2003-11-05</t>
        </is>
      </c>
      <c r="Y987" t="n">
        <v>316</v>
      </c>
      <c r="Z987" t="n">
        <v>249</v>
      </c>
      <c r="AA987" t="n">
        <v>533</v>
      </c>
      <c r="AB987" t="n">
        <v>3</v>
      </c>
      <c r="AC987" t="n">
        <v>5</v>
      </c>
      <c r="AD987" t="n">
        <v>20</v>
      </c>
      <c r="AE987" t="n">
        <v>28</v>
      </c>
      <c r="AF987" t="n">
        <v>7</v>
      </c>
      <c r="AG987" t="n">
        <v>10</v>
      </c>
      <c r="AH987" t="n">
        <v>6</v>
      </c>
      <c r="AI987" t="n">
        <v>8</v>
      </c>
      <c r="AJ987" t="n">
        <v>12</v>
      </c>
      <c r="AK987" t="n">
        <v>15</v>
      </c>
      <c r="AL987" t="n">
        <v>2</v>
      </c>
      <c r="AM987" t="n">
        <v>4</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HYPERLINK("https://creighton-primo.hosted.exlibrisgroup.com/primo-explore/search?tab=default_tab&amp;search_scope=EVERYTHING&amp;vid=01CRU&amp;lang=en_US&amp;offset=0&amp;query=any,contains,991004145839702656","Catalog Record")</f>
        <v/>
      </c>
      <c r="AT987">
        <f>HYPERLINK("http://www.worldcat.org/oclc/49935970","WorldCat Record")</f>
        <v/>
      </c>
      <c r="AU987" t="inlineStr">
        <is>
          <t>891442823:eng</t>
        </is>
      </c>
      <c r="AV987" t="inlineStr">
        <is>
          <t>49935970</t>
        </is>
      </c>
      <c r="AW987" t="inlineStr">
        <is>
          <t>991004145839702656</t>
        </is>
      </c>
      <c r="AX987" t="inlineStr">
        <is>
          <t>991004145839702656</t>
        </is>
      </c>
      <c r="AY987" t="inlineStr">
        <is>
          <t>2254711300002656</t>
        </is>
      </c>
      <c r="AZ987" t="inlineStr">
        <is>
          <t>BOOK</t>
        </is>
      </c>
      <c r="BB987" t="inlineStr">
        <is>
          <t>9780830826889</t>
        </is>
      </c>
      <c r="BC987" t="inlineStr">
        <is>
          <t>32285004794144</t>
        </is>
      </c>
      <c r="BD987" t="inlineStr">
        <is>
          <t>893788334</t>
        </is>
      </c>
    </row>
    <row r="988">
      <c r="A988" t="inlineStr">
        <is>
          <t>No</t>
        </is>
      </c>
      <c r="B988" t="inlineStr">
        <is>
          <t>BV600.3 .S63 2005</t>
        </is>
      </c>
      <c r="C988" t="inlineStr">
        <is>
          <t>0                      BV 0600300S  63          2005</t>
        </is>
      </c>
      <c r="D988" t="inlineStr">
        <is>
          <t>Small Christian communities today : capturing the new moment / Joseph G. Healey and Jeanne Hinton, editors.</t>
        </is>
      </c>
      <c r="F988" t="inlineStr">
        <is>
          <t>No</t>
        </is>
      </c>
      <c r="G988" t="inlineStr">
        <is>
          <t>1</t>
        </is>
      </c>
      <c r="H988" t="inlineStr">
        <is>
          <t>No</t>
        </is>
      </c>
      <c r="I988" t="inlineStr">
        <is>
          <t>No</t>
        </is>
      </c>
      <c r="J988" t="inlineStr">
        <is>
          <t>0</t>
        </is>
      </c>
      <c r="L988" t="inlineStr">
        <is>
          <t>Maryknoll, N.Y. : Orbis Books, c2005.</t>
        </is>
      </c>
      <c r="M988" t="inlineStr">
        <is>
          <t>2005</t>
        </is>
      </c>
      <c r="O988" t="inlineStr">
        <is>
          <t>eng</t>
        </is>
      </c>
      <c r="P988" t="inlineStr">
        <is>
          <t>nyu</t>
        </is>
      </c>
      <c r="R988" t="inlineStr">
        <is>
          <t xml:space="preserve">BV </t>
        </is>
      </c>
      <c r="S988" t="n">
        <v>4</v>
      </c>
      <c r="T988" t="n">
        <v>4</v>
      </c>
      <c r="U988" t="inlineStr">
        <is>
          <t>2006-07-21</t>
        </is>
      </c>
      <c r="V988" t="inlineStr">
        <is>
          <t>2006-07-21</t>
        </is>
      </c>
      <c r="W988" t="inlineStr">
        <is>
          <t>2006-02-03</t>
        </is>
      </c>
      <c r="X988" t="inlineStr">
        <is>
          <t>2006-02-03</t>
        </is>
      </c>
      <c r="Y988" t="n">
        <v>181</v>
      </c>
      <c r="Z988" t="n">
        <v>140</v>
      </c>
      <c r="AA988" t="n">
        <v>145</v>
      </c>
      <c r="AB988" t="n">
        <v>2</v>
      </c>
      <c r="AC988" t="n">
        <v>2</v>
      </c>
      <c r="AD988" t="n">
        <v>18</v>
      </c>
      <c r="AE988" t="n">
        <v>18</v>
      </c>
      <c r="AF988" t="n">
        <v>5</v>
      </c>
      <c r="AG988" t="n">
        <v>5</v>
      </c>
      <c r="AH988" t="n">
        <v>6</v>
      </c>
      <c r="AI988" t="n">
        <v>6</v>
      </c>
      <c r="AJ988" t="n">
        <v>14</v>
      </c>
      <c r="AK988" t="n">
        <v>14</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HYPERLINK("https://creighton-primo.hosted.exlibrisgroup.com/primo-explore/search?tab=default_tab&amp;search_scope=EVERYTHING&amp;vid=01CRU&amp;lang=en_US&amp;offset=0&amp;query=any,contains,991004709719702656","Catalog Record")</f>
        <v/>
      </c>
      <c r="AT988">
        <f>HYPERLINK("http://www.worldcat.org/oclc/58919841","WorldCat Record")</f>
        <v/>
      </c>
      <c r="AU988" t="inlineStr">
        <is>
          <t>479187499:eng</t>
        </is>
      </c>
      <c r="AV988" t="inlineStr">
        <is>
          <t>58919841</t>
        </is>
      </c>
      <c r="AW988" t="inlineStr">
        <is>
          <t>991004709719702656</t>
        </is>
      </c>
      <c r="AX988" t="inlineStr">
        <is>
          <t>991004709719702656</t>
        </is>
      </c>
      <c r="AY988" t="inlineStr">
        <is>
          <t>2270406150002656</t>
        </is>
      </c>
      <c r="AZ988" t="inlineStr">
        <is>
          <t>BOOK</t>
        </is>
      </c>
      <c r="BB988" t="inlineStr">
        <is>
          <t>9781570756184</t>
        </is>
      </c>
      <c r="BC988" t="inlineStr">
        <is>
          <t>32285005157002</t>
        </is>
      </c>
      <c r="BD988" t="inlineStr">
        <is>
          <t>893247887</t>
        </is>
      </c>
    </row>
    <row r="989">
      <c r="A989" t="inlineStr">
        <is>
          <t>No</t>
        </is>
      </c>
      <c r="B989" t="inlineStr">
        <is>
          <t>BV600.5 .C5</t>
        </is>
      </c>
      <c r="C989" t="inlineStr">
        <is>
          <t>0                      BV 0600500C  5</t>
        </is>
      </c>
      <c r="D989" t="inlineStr">
        <is>
          <t>The Church as the body of Christ / [by] K. E. Skydsgaard [and others.</t>
        </is>
      </c>
      <c r="F989" t="inlineStr">
        <is>
          <t>No</t>
        </is>
      </c>
      <c r="G989" t="inlineStr">
        <is>
          <t>1</t>
        </is>
      </c>
      <c r="H989" t="inlineStr">
        <is>
          <t>No</t>
        </is>
      </c>
      <c r="I989" t="inlineStr">
        <is>
          <t>No</t>
        </is>
      </c>
      <c r="J989" t="inlineStr">
        <is>
          <t>0</t>
        </is>
      </c>
      <c r="L989" t="inlineStr">
        <is>
          <t>Notre Dame, Ind.] University of Notre Dame Press, 1963.</t>
        </is>
      </c>
      <c r="M989" t="inlineStr">
        <is>
          <t>1963</t>
        </is>
      </c>
      <c r="O989" t="inlineStr">
        <is>
          <t>eng</t>
        </is>
      </c>
      <c r="P989" t="inlineStr">
        <is>
          <t>inu</t>
        </is>
      </c>
      <c r="Q989" t="inlineStr">
        <is>
          <t>The Cardinal O'Hara series, vol. 1.</t>
        </is>
      </c>
      <c r="R989" t="inlineStr">
        <is>
          <t xml:space="preserve">BV </t>
        </is>
      </c>
      <c r="S989" t="n">
        <v>3</v>
      </c>
      <c r="T989" t="n">
        <v>3</v>
      </c>
      <c r="U989" t="inlineStr">
        <is>
          <t>1995-11-15</t>
        </is>
      </c>
      <c r="V989" t="inlineStr">
        <is>
          <t>1995-11-15</t>
        </is>
      </c>
      <c r="W989" t="inlineStr">
        <is>
          <t>1992-01-09</t>
        </is>
      </c>
      <c r="X989" t="inlineStr">
        <is>
          <t>1992-01-09</t>
        </is>
      </c>
      <c r="Y989" t="n">
        <v>299</v>
      </c>
      <c r="Z989" t="n">
        <v>261</v>
      </c>
      <c r="AA989" t="n">
        <v>262</v>
      </c>
      <c r="AB989" t="n">
        <v>1</v>
      </c>
      <c r="AC989" t="n">
        <v>1</v>
      </c>
      <c r="AD989" t="n">
        <v>32</v>
      </c>
      <c r="AE989" t="n">
        <v>32</v>
      </c>
      <c r="AF989" t="n">
        <v>11</v>
      </c>
      <c r="AG989" t="n">
        <v>11</v>
      </c>
      <c r="AH989" t="n">
        <v>9</v>
      </c>
      <c r="AI989" t="n">
        <v>9</v>
      </c>
      <c r="AJ989" t="n">
        <v>24</v>
      </c>
      <c r="AK989" t="n">
        <v>24</v>
      </c>
      <c r="AL989" t="n">
        <v>0</v>
      </c>
      <c r="AM989" t="n">
        <v>0</v>
      </c>
      <c r="AN989" t="n">
        <v>0</v>
      </c>
      <c r="AO989" t="n">
        <v>0</v>
      </c>
      <c r="AP989" t="inlineStr">
        <is>
          <t>No</t>
        </is>
      </c>
      <c r="AQ989" t="inlineStr">
        <is>
          <t>No</t>
        </is>
      </c>
      <c r="AR989">
        <f>HYPERLINK("http://catalog.hathitrust.org/Record/102300201","HathiTrust Record")</f>
        <v/>
      </c>
      <c r="AS989">
        <f>HYPERLINK("https://creighton-primo.hosted.exlibrisgroup.com/primo-explore/search?tab=default_tab&amp;search_scope=EVERYTHING&amp;vid=01CRU&amp;lang=en_US&amp;offset=0&amp;query=any,contains,991003173629702656","Catalog Record")</f>
        <v/>
      </c>
      <c r="AT989">
        <f>HYPERLINK("http://www.worldcat.org/oclc/708967","WorldCat Record")</f>
        <v/>
      </c>
      <c r="AU989" t="inlineStr">
        <is>
          <t>472999321:eng</t>
        </is>
      </c>
      <c r="AV989" t="inlineStr">
        <is>
          <t>708967</t>
        </is>
      </c>
      <c r="AW989" t="inlineStr">
        <is>
          <t>991003173629702656</t>
        </is>
      </c>
      <c r="AX989" t="inlineStr">
        <is>
          <t>991003173629702656</t>
        </is>
      </c>
      <c r="AY989" t="inlineStr">
        <is>
          <t>2269399000002656</t>
        </is>
      </c>
      <c r="AZ989" t="inlineStr">
        <is>
          <t>BOOK</t>
        </is>
      </c>
      <c r="BC989" t="inlineStr">
        <is>
          <t>32285000903145</t>
        </is>
      </c>
      <c r="BD989" t="inlineStr">
        <is>
          <t>893880888</t>
        </is>
      </c>
    </row>
    <row r="990">
      <c r="A990" t="inlineStr">
        <is>
          <t>No</t>
        </is>
      </c>
      <c r="B990" t="inlineStr">
        <is>
          <t>BV600.5 .H3</t>
        </is>
      </c>
      <c r="C990" t="inlineStr">
        <is>
          <t>0                      BV 0600500H  3</t>
        </is>
      </c>
      <c r="D990" t="inlineStr">
        <is>
          <t>The life of the mystical body : the church, grace, and the sacraments / by Philip L. Hanley.</t>
        </is>
      </c>
      <c r="F990" t="inlineStr">
        <is>
          <t>No</t>
        </is>
      </c>
      <c r="G990" t="inlineStr">
        <is>
          <t>1</t>
        </is>
      </c>
      <c r="H990" t="inlineStr">
        <is>
          <t>No</t>
        </is>
      </c>
      <c r="I990" t="inlineStr">
        <is>
          <t>No</t>
        </is>
      </c>
      <c r="J990" t="inlineStr">
        <is>
          <t>0</t>
        </is>
      </c>
      <c r="K990" t="inlineStr">
        <is>
          <t>Hanley, Philip L.</t>
        </is>
      </c>
      <c r="L990" t="inlineStr">
        <is>
          <t>Westminster,Md., Newman Press, 1961.</t>
        </is>
      </c>
      <c r="M990" t="inlineStr">
        <is>
          <t>1961</t>
        </is>
      </c>
      <c r="O990" t="inlineStr">
        <is>
          <t>eng</t>
        </is>
      </c>
      <c r="P990" t="inlineStr">
        <is>
          <t>___</t>
        </is>
      </c>
      <c r="R990" t="inlineStr">
        <is>
          <t xml:space="preserve">BV </t>
        </is>
      </c>
      <c r="S990" t="n">
        <v>2</v>
      </c>
      <c r="T990" t="n">
        <v>2</v>
      </c>
      <c r="U990" t="inlineStr">
        <is>
          <t>1998-11-02</t>
        </is>
      </c>
      <c r="V990" t="inlineStr">
        <is>
          <t>1998-11-02</t>
        </is>
      </c>
      <c r="W990" t="inlineStr">
        <is>
          <t>1992-01-09</t>
        </is>
      </c>
      <c r="X990" t="inlineStr">
        <is>
          <t>1992-01-09</t>
        </is>
      </c>
      <c r="Y990" t="n">
        <v>185</v>
      </c>
      <c r="Z990" t="n">
        <v>162</v>
      </c>
      <c r="AA990" t="n">
        <v>174</v>
      </c>
      <c r="AB990" t="n">
        <v>2</v>
      </c>
      <c r="AC990" t="n">
        <v>3</v>
      </c>
      <c r="AD990" t="n">
        <v>27</v>
      </c>
      <c r="AE990" t="n">
        <v>28</v>
      </c>
      <c r="AF990" t="n">
        <v>9</v>
      </c>
      <c r="AG990" t="n">
        <v>10</v>
      </c>
      <c r="AH990" t="n">
        <v>8</v>
      </c>
      <c r="AI990" t="n">
        <v>8</v>
      </c>
      <c r="AJ990" t="n">
        <v>21</v>
      </c>
      <c r="AK990" t="n">
        <v>22</v>
      </c>
      <c r="AL990" t="n">
        <v>0</v>
      </c>
      <c r="AM990" t="n">
        <v>0</v>
      </c>
      <c r="AN990" t="n">
        <v>0</v>
      </c>
      <c r="AO990" t="n">
        <v>0</v>
      </c>
      <c r="AP990" t="inlineStr">
        <is>
          <t>No</t>
        </is>
      </c>
      <c r="AQ990" t="inlineStr">
        <is>
          <t>Yes</t>
        </is>
      </c>
      <c r="AR990">
        <f>HYPERLINK("http://catalog.hathitrust.org/Record/101765786","HathiTrust Record")</f>
        <v/>
      </c>
      <c r="AS990">
        <f>HYPERLINK("https://creighton-primo.hosted.exlibrisgroup.com/primo-explore/search?tab=default_tab&amp;search_scope=EVERYTHING&amp;vid=01CRU&amp;lang=en_US&amp;offset=0&amp;query=any,contains,991003108329702656","Catalog Record")</f>
        <v/>
      </c>
      <c r="AT990">
        <f>HYPERLINK("http://www.worldcat.org/oclc/655437","WorldCat Record")</f>
        <v/>
      </c>
      <c r="AU990" t="inlineStr">
        <is>
          <t>1807211586:eng</t>
        </is>
      </c>
      <c r="AV990" t="inlineStr">
        <is>
          <t>655437</t>
        </is>
      </c>
      <c r="AW990" t="inlineStr">
        <is>
          <t>991003108329702656</t>
        </is>
      </c>
      <c r="AX990" t="inlineStr">
        <is>
          <t>991003108329702656</t>
        </is>
      </c>
      <c r="AY990" t="inlineStr">
        <is>
          <t>2260782810002656</t>
        </is>
      </c>
      <c r="AZ990" t="inlineStr">
        <is>
          <t>BOOK</t>
        </is>
      </c>
      <c r="BC990" t="inlineStr">
        <is>
          <t>32285000903152</t>
        </is>
      </c>
      <c r="BD990" t="inlineStr">
        <is>
          <t>893498952</t>
        </is>
      </c>
    </row>
    <row r="991">
      <c r="A991" t="inlineStr">
        <is>
          <t>No</t>
        </is>
      </c>
      <c r="B991" t="inlineStr">
        <is>
          <t>BV600.5 .M813</t>
        </is>
      </c>
      <c r="C991" t="inlineStr">
        <is>
          <t>0                      BV 0600500M  813</t>
        </is>
      </c>
      <c r="D991" t="inlineStr">
        <is>
          <t>The nature of the mystical body / Ernest Mura. Translated by M.Angeline Bouchard.</t>
        </is>
      </c>
      <c r="F991" t="inlineStr">
        <is>
          <t>No</t>
        </is>
      </c>
      <c r="G991" t="inlineStr">
        <is>
          <t>1</t>
        </is>
      </c>
      <c r="H991" t="inlineStr">
        <is>
          <t>No</t>
        </is>
      </c>
      <c r="I991" t="inlineStr">
        <is>
          <t>No</t>
        </is>
      </c>
      <c r="J991" t="inlineStr">
        <is>
          <t>0</t>
        </is>
      </c>
      <c r="K991" t="inlineStr">
        <is>
          <t>Mura, Ernest, 1900-</t>
        </is>
      </c>
      <c r="L991" t="inlineStr">
        <is>
          <t>[St.Louis] B.Herder Book Co [c1963]</t>
        </is>
      </c>
      <c r="M991" t="inlineStr">
        <is>
          <t>1963</t>
        </is>
      </c>
      <c r="O991" t="inlineStr">
        <is>
          <t>eng</t>
        </is>
      </c>
      <c r="P991" t="inlineStr">
        <is>
          <t>___</t>
        </is>
      </c>
      <c r="R991" t="inlineStr">
        <is>
          <t xml:space="preserve">BV </t>
        </is>
      </c>
      <c r="S991" t="n">
        <v>5</v>
      </c>
      <c r="T991" t="n">
        <v>5</v>
      </c>
      <c r="U991" t="inlineStr">
        <is>
          <t>1998-11-02</t>
        </is>
      </c>
      <c r="V991" t="inlineStr">
        <is>
          <t>1998-11-02</t>
        </is>
      </c>
      <c r="W991" t="inlineStr">
        <is>
          <t>1992-01-10</t>
        </is>
      </c>
      <c r="X991" t="inlineStr">
        <is>
          <t>1992-01-10</t>
        </is>
      </c>
      <c r="Y991" t="n">
        <v>146</v>
      </c>
      <c r="Z991" t="n">
        <v>126</v>
      </c>
      <c r="AA991" t="n">
        <v>126</v>
      </c>
      <c r="AB991" t="n">
        <v>1</v>
      </c>
      <c r="AC991" t="n">
        <v>1</v>
      </c>
      <c r="AD991" t="n">
        <v>13</v>
      </c>
      <c r="AE991" t="n">
        <v>13</v>
      </c>
      <c r="AF991" t="n">
        <v>1</v>
      </c>
      <c r="AG991" t="n">
        <v>1</v>
      </c>
      <c r="AH991" t="n">
        <v>4</v>
      </c>
      <c r="AI991" t="n">
        <v>4</v>
      </c>
      <c r="AJ991" t="n">
        <v>11</v>
      </c>
      <c r="AK991" t="n">
        <v>11</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HYPERLINK("https://creighton-primo.hosted.exlibrisgroup.com/primo-explore/search?tab=default_tab&amp;search_scope=EVERYTHING&amp;vid=01CRU&amp;lang=en_US&amp;offset=0&amp;query=any,contains,991003108269702656","Catalog Record")</f>
        <v/>
      </c>
      <c r="AT991">
        <f>HYPERLINK("http://www.worldcat.org/oclc/655424","WorldCat Record")</f>
        <v/>
      </c>
      <c r="AU991" t="inlineStr">
        <is>
          <t>10076108749:eng</t>
        </is>
      </c>
      <c r="AV991" t="inlineStr">
        <is>
          <t>655424</t>
        </is>
      </c>
      <c r="AW991" t="inlineStr">
        <is>
          <t>991003108269702656</t>
        </is>
      </c>
      <c r="AX991" t="inlineStr">
        <is>
          <t>991003108269702656</t>
        </is>
      </c>
      <c r="AY991" t="inlineStr">
        <is>
          <t>2260783000002656</t>
        </is>
      </c>
      <c r="AZ991" t="inlineStr">
        <is>
          <t>BOOK</t>
        </is>
      </c>
      <c r="BC991" t="inlineStr">
        <is>
          <t>32285000903178</t>
        </is>
      </c>
      <c r="BD991" t="inlineStr">
        <is>
          <t>893799394</t>
        </is>
      </c>
    </row>
    <row r="992">
      <c r="A992" t="inlineStr">
        <is>
          <t>No</t>
        </is>
      </c>
      <c r="B992" t="inlineStr">
        <is>
          <t>BV600.5 .S3</t>
        </is>
      </c>
      <c r="C992" t="inlineStr">
        <is>
          <t>0                      BV 0600500S  3</t>
        </is>
      </c>
      <c r="D992" t="inlineStr">
        <is>
          <t>The church as the body of Christ / by Eduard Schweizer.</t>
        </is>
      </c>
      <c r="F992" t="inlineStr">
        <is>
          <t>No</t>
        </is>
      </c>
      <c r="G992" t="inlineStr">
        <is>
          <t>1</t>
        </is>
      </c>
      <c r="H992" t="inlineStr">
        <is>
          <t>No</t>
        </is>
      </c>
      <c r="I992" t="inlineStr">
        <is>
          <t>No</t>
        </is>
      </c>
      <c r="J992" t="inlineStr">
        <is>
          <t>0</t>
        </is>
      </c>
      <c r="K992" t="inlineStr">
        <is>
          <t>Schweizer, Eduard, 1913-2006.</t>
        </is>
      </c>
      <c r="L992" t="inlineStr">
        <is>
          <t>Richmond, John Knox Press [1964]</t>
        </is>
      </c>
      <c r="M992" t="inlineStr">
        <is>
          <t>1964</t>
        </is>
      </c>
      <c r="O992" t="inlineStr">
        <is>
          <t>eng</t>
        </is>
      </c>
      <c r="P992" t="inlineStr">
        <is>
          <t>vau</t>
        </is>
      </c>
      <c r="Q992" t="inlineStr">
        <is>
          <t>T.V. Moore lectures ; 1962</t>
        </is>
      </c>
      <c r="R992" t="inlineStr">
        <is>
          <t xml:space="preserve">BV </t>
        </is>
      </c>
      <c r="S992" t="n">
        <v>6</v>
      </c>
      <c r="T992" t="n">
        <v>6</v>
      </c>
      <c r="U992" t="inlineStr">
        <is>
          <t>2007-05-29</t>
        </is>
      </c>
      <c r="V992" t="inlineStr">
        <is>
          <t>2007-05-29</t>
        </is>
      </c>
      <c r="W992" t="inlineStr">
        <is>
          <t>1992-01-10</t>
        </is>
      </c>
      <c r="X992" t="inlineStr">
        <is>
          <t>1992-01-10</t>
        </is>
      </c>
      <c r="Y992" t="n">
        <v>280</v>
      </c>
      <c r="Z992" t="n">
        <v>248</v>
      </c>
      <c r="AA992" t="n">
        <v>276</v>
      </c>
      <c r="AB992" t="n">
        <v>3</v>
      </c>
      <c r="AC992" t="n">
        <v>3</v>
      </c>
      <c r="AD992" t="n">
        <v>20</v>
      </c>
      <c r="AE992" t="n">
        <v>23</v>
      </c>
      <c r="AF992" t="n">
        <v>9</v>
      </c>
      <c r="AG992" t="n">
        <v>9</v>
      </c>
      <c r="AH992" t="n">
        <v>5</v>
      </c>
      <c r="AI992" t="n">
        <v>5</v>
      </c>
      <c r="AJ992" t="n">
        <v>10</v>
      </c>
      <c r="AK992" t="n">
        <v>13</v>
      </c>
      <c r="AL992" t="n">
        <v>2</v>
      </c>
      <c r="AM992" t="n">
        <v>2</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HYPERLINK("https://creighton-primo.hosted.exlibrisgroup.com/primo-explore/search?tab=default_tab&amp;search_scope=EVERYTHING&amp;vid=01CRU&amp;lang=en_US&amp;offset=0&amp;query=any,contains,991003210189702656","Catalog Record")</f>
        <v/>
      </c>
      <c r="AT992">
        <f>HYPERLINK("http://www.worldcat.org/oclc/736493","WorldCat Record")</f>
        <v/>
      </c>
      <c r="AU992" t="inlineStr">
        <is>
          <t>114069725:eng</t>
        </is>
      </c>
      <c r="AV992" t="inlineStr">
        <is>
          <t>736493</t>
        </is>
      </c>
      <c r="AW992" t="inlineStr">
        <is>
          <t>991003210189702656</t>
        </is>
      </c>
      <c r="AX992" t="inlineStr">
        <is>
          <t>991003210189702656</t>
        </is>
      </c>
      <c r="AY992" t="inlineStr">
        <is>
          <t>2255038140002656</t>
        </is>
      </c>
      <c r="AZ992" t="inlineStr">
        <is>
          <t>BOOK</t>
        </is>
      </c>
      <c r="BC992" t="inlineStr">
        <is>
          <t>32285000903194</t>
        </is>
      </c>
      <c r="BD992" t="inlineStr">
        <is>
          <t>893617100</t>
        </is>
      </c>
    </row>
    <row r="993">
      <c r="A993" t="inlineStr">
        <is>
          <t>No</t>
        </is>
      </c>
      <c r="B993" t="inlineStr">
        <is>
          <t>BV601.2 .B63</t>
        </is>
      </c>
      <c r="C993" t="inlineStr">
        <is>
          <t>0                      BV 0601200B  63</t>
        </is>
      </c>
      <c r="D993" t="inlineStr">
        <is>
          <t>Evangelization in America : proclamation, way of life, and the Catholic Church in the United States / David Bohr.</t>
        </is>
      </c>
      <c r="F993" t="inlineStr">
        <is>
          <t>No</t>
        </is>
      </c>
      <c r="G993" t="inlineStr">
        <is>
          <t>1</t>
        </is>
      </c>
      <c r="H993" t="inlineStr">
        <is>
          <t>No</t>
        </is>
      </c>
      <c r="I993" t="inlineStr">
        <is>
          <t>No</t>
        </is>
      </c>
      <c r="J993" t="inlineStr">
        <is>
          <t>0</t>
        </is>
      </c>
      <c r="K993" t="inlineStr">
        <is>
          <t>Bohr, David.</t>
        </is>
      </c>
      <c r="L993" t="inlineStr">
        <is>
          <t>New York : Paulist Press, c1977.</t>
        </is>
      </c>
      <c r="M993" t="inlineStr">
        <is>
          <t>1977</t>
        </is>
      </c>
      <c r="O993" t="inlineStr">
        <is>
          <t>eng</t>
        </is>
      </c>
      <c r="P993" t="inlineStr">
        <is>
          <t>nyu</t>
        </is>
      </c>
      <c r="R993" t="inlineStr">
        <is>
          <t xml:space="preserve">BV </t>
        </is>
      </c>
      <c r="S993" t="n">
        <v>5</v>
      </c>
      <c r="T993" t="n">
        <v>5</v>
      </c>
      <c r="U993" t="inlineStr">
        <is>
          <t>1996-11-09</t>
        </is>
      </c>
      <c r="V993" t="inlineStr">
        <is>
          <t>1996-11-09</t>
        </is>
      </c>
      <c r="W993" t="inlineStr">
        <is>
          <t>1992-01-10</t>
        </is>
      </c>
      <c r="X993" t="inlineStr">
        <is>
          <t>1992-01-10</t>
        </is>
      </c>
      <c r="Y993" t="n">
        <v>219</v>
      </c>
      <c r="Z993" t="n">
        <v>197</v>
      </c>
      <c r="AA993" t="n">
        <v>197</v>
      </c>
      <c r="AB993" t="n">
        <v>2</v>
      </c>
      <c r="AC993" t="n">
        <v>2</v>
      </c>
      <c r="AD993" t="n">
        <v>22</v>
      </c>
      <c r="AE993" t="n">
        <v>22</v>
      </c>
      <c r="AF993" t="n">
        <v>3</v>
      </c>
      <c r="AG993" t="n">
        <v>3</v>
      </c>
      <c r="AH993" t="n">
        <v>6</v>
      </c>
      <c r="AI993" t="n">
        <v>6</v>
      </c>
      <c r="AJ993" t="n">
        <v>18</v>
      </c>
      <c r="AK993" t="n">
        <v>18</v>
      </c>
      <c r="AL993" t="n">
        <v>1</v>
      </c>
      <c r="AM993" t="n">
        <v>1</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HYPERLINK("https://creighton-primo.hosted.exlibrisgroup.com/primo-explore/search?tab=default_tab&amp;search_scope=EVERYTHING&amp;vid=01CRU&amp;lang=en_US&amp;offset=0&amp;query=any,contains,991004406989702656","Catalog Record")</f>
        <v/>
      </c>
      <c r="AT993">
        <f>HYPERLINK("http://www.worldcat.org/oclc/3326764","WorldCat Record")</f>
        <v/>
      </c>
      <c r="AU993" t="inlineStr">
        <is>
          <t>228577677:eng</t>
        </is>
      </c>
      <c r="AV993" t="inlineStr">
        <is>
          <t>3326764</t>
        </is>
      </c>
      <c r="AW993" t="inlineStr">
        <is>
          <t>991004406989702656</t>
        </is>
      </c>
      <c r="AX993" t="inlineStr">
        <is>
          <t>991004406989702656</t>
        </is>
      </c>
      <c r="AY993" t="inlineStr">
        <is>
          <t>2270334990002656</t>
        </is>
      </c>
      <c r="AZ993" t="inlineStr">
        <is>
          <t>BOOK</t>
        </is>
      </c>
      <c r="BB993" t="inlineStr">
        <is>
          <t>9780809120390</t>
        </is>
      </c>
      <c r="BC993" t="inlineStr">
        <is>
          <t>32285000903228</t>
        </is>
      </c>
      <c r="BD993" t="inlineStr">
        <is>
          <t>893712548</t>
        </is>
      </c>
    </row>
    <row r="994">
      <c r="A994" t="inlineStr">
        <is>
          <t>No</t>
        </is>
      </c>
      <c r="B994" t="inlineStr">
        <is>
          <t>BV601.2 .B87 2004</t>
        </is>
      </c>
      <c r="C994" t="inlineStr">
        <is>
          <t>0                      BV 0601200B  87          2004</t>
        </is>
      </c>
      <c r="D994" t="inlineStr">
        <is>
          <t>Apostolicity then and now : an ecumenical church in a postmodern world / John J. Burkhard.</t>
        </is>
      </c>
      <c r="F994" t="inlineStr">
        <is>
          <t>No</t>
        </is>
      </c>
      <c r="G994" t="inlineStr">
        <is>
          <t>1</t>
        </is>
      </c>
      <c r="H994" t="inlineStr">
        <is>
          <t>No</t>
        </is>
      </c>
      <c r="I994" t="inlineStr">
        <is>
          <t>No</t>
        </is>
      </c>
      <c r="J994" t="inlineStr">
        <is>
          <t>0</t>
        </is>
      </c>
      <c r="K994" t="inlineStr">
        <is>
          <t>Burkhard, John J., 1940-</t>
        </is>
      </c>
      <c r="L994" t="inlineStr">
        <is>
          <t>Collegeville, Minn. : Liturgical Press, c2004.</t>
        </is>
      </c>
      <c r="M994" t="inlineStr">
        <is>
          <t>2004</t>
        </is>
      </c>
      <c r="O994" t="inlineStr">
        <is>
          <t>eng</t>
        </is>
      </c>
      <c r="P994" t="inlineStr">
        <is>
          <t>mnu</t>
        </is>
      </c>
      <c r="R994" t="inlineStr">
        <is>
          <t xml:space="preserve">BV </t>
        </is>
      </c>
      <c r="S994" t="n">
        <v>1</v>
      </c>
      <c r="T994" t="n">
        <v>1</v>
      </c>
      <c r="U994" t="inlineStr">
        <is>
          <t>2005-01-25</t>
        </is>
      </c>
      <c r="V994" t="inlineStr">
        <is>
          <t>2005-01-25</t>
        </is>
      </c>
      <c r="W994" t="inlineStr">
        <is>
          <t>2005-01-25</t>
        </is>
      </c>
      <c r="X994" t="inlineStr">
        <is>
          <t>2005-01-25</t>
        </is>
      </c>
      <c r="Y994" t="n">
        <v>179</v>
      </c>
      <c r="Z994" t="n">
        <v>143</v>
      </c>
      <c r="AA994" t="n">
        <v>154</v>
      </c>
      <c r="AB994" t="n">
        <v>1</v>
      </c>
      <c r="AC994" t="n">
        <v>1</v>
      </c>
      <c r="AD994" t="n">
        <v>18</v>
      </c>
      <c r="AE994" t="n">
        <v>18</v>
      </c>
      <c r="AF994" t="n">
        <v>7</v>
      </c>
      <c r="AG994" t="n">
        <v>7</v>
      </c>
      <c r="AH994" t="n">
        <v>6</v>
      </c>
      <c r="AI994" t="n">
        <v>6</v>
      </c>
      <c r="AJ994" t="n">
        <v>10</v>
      </c>
      <c r="AK994" t="n">
        <v>10</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HYPERLINK("https://creighton-primo.hosted.exlibrisgroup.com/primo-explore/search?tab=default_tab&amp;search_scope=EVERYTHING&amp;vid=01CRU&amp;lang=en_US&amp;offset=0&amp;query=any,contains,991004404179702656","Catalog Record")</f>
        <v/>
      </c>
      <c r="AT994">
        <f>HYPERLINK("http://www.worldcat.org/oclc/54896952","WorldCat Record")</f>
        <v/>
      </c>
      <c r="AU994" t="inlineStr">
        <is>
          <t>905880975:eng</t>
        </is>
      </c>
      <c r="AV994" t="inlineStr">
        <is>
          <t>54896952</t>
        </is>
      </c>
      <c r="AW994" t="inlineStr">
        <is>
          <t>991004404179702656</t>
        </is>
      </c>
      <c r="AX994" t="inlineStr">
        <is>
          <t>991004404179702656</t>
        </is>
      </c>
      <c r="AY994" t="inlineStr">
        <is>
          <t>2255110680002656</t>
        </is>
      </c>
      <c r="AZ994" t="inlineStr">
        <is>
          <t>BOOK</t>
        </is>
      </c>
      <c r="BB994" t="inlineStr">
        <is>
          <t>9780814651216</t>
        </is>
      </c>
      <c r="BC994" t="inlineStr">
        <is>
          <t>32285005022677</t>
        </is>
      </c>
      <c r="BD994" t="inlineStr">
        <is>
          <t>893894961</t>
        </is>
      </c>
    </row>
    <row r="995">
      <c r="A995" t="inlineStr">
        <is>
          <t>No</t>
        </is>
      </c>
      <c r="B995" t="inlineStr">
        <is>
          <t>BV601.6.I5 I525</t>
        </is>
      </c>
      <c r="C995" t="inlineStr">
        <is>
          <t>0                      BV 0601600I  5                  I  525</t>
        </is>
      </c>
      <c r="D995" t="inlineStr">
        <is>
          <t>The Infallibility debate / [by] Gregory Baum [and others]. Edited by John J. Kirvan.</t>
        </is>
      </c>
      <c r="F995" t="inlineStr">
        <is>
          <t>No</t>
        </is>
      </c>
      <c r="G995" t="inlineStr">
        <is>
          <t>1</t>
        </is>
      </c>
      <c r="H995" t="inlineStr">
        <is>
          <t>No</t>
        </is>
      </c>
      <c r="I995" t="inlineStr">
        <is>
          <t>No</t>
        </is>
      </c>
      <c r="J995" t="inlineStr">
        <is>
          <t>0</t>
        </is>
      </c>
      <c r="L995" t="inlineStr">
        <is>
          <t>New York, Paulist Press [1971]</t>
        </is>
      </c>
      <c r="M995" t="inlineStr">
        <is>
          <t>1971</t>
        </is>
      </c>
      <c r="O995" t="inlineStr">
        <is>
          <t>eng</t>
        </is>
      </c>
      <c r="P995" t="inlineStr">
        <is>
          <t>nyu</t>
        </is>
      </c>
      <c r="R995" t="inlineStr">
        <is>
          <t xml:space="preserve">BV </t>
        </is>
      </c>
      <c r="S995" t="n">
        <v>7</v>
      </c>
      <c r="T995" t="n">
        <v>7</v>
      </c>
      <c r="U995" t="inlineStr">
        <is>
          <t>2004-02-14</t>
        </is>
      </c>
      <c r="V995" t="inlineStr">
        <is>
          <t>2004-02-14</t>
        </is>
      </c>
      <c r="W995" t="inlineStr">
        <is>
          <t>1990-03-19</t>
        </is>
      </c>
      <c r="X995" t="inlineStr">
        <is>
          <t>1990-03-19</t>
        </is>
      </c>
      <c r="Y995" t="n">
        <v>416</v>
      </c>
      <c r="Z995" t="n">
        <v>362</v>
      </c>
      <c r="AA995" t="n">
        <v>372</v>
      </c>
      <c r="AB995" t="n">
        <v>3</v>
      </c>
      <c r="AC995" t="n">
        <v>3</v>
      </c>
      <c r="AD995" t="n">
        <v>33</v>
      </c>
      <c r="AE995" t="n">
        <v>34</v>
      </c>
      <c r="AF995" t="n">
        <v>10</v>
      </c>
      <c r="AG995" t="n">
        <v>11</v>
      </c>
      <c r="AH995" t="n">
        <v>9</v>
      </c>
      <c r="AI995" t="n">
        <v>9</v>
      </c>
      <c r="AJ995" t="n">
        <v>23</v>
      </c>
      <c r="AK995" t="n">
        <v>24</v>
      </c>
      <c r="AL995" t="n">
        <v>1</v>
      </c>
      <c r="AM995" t="n">
        <v>1</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HYPERLINK("https://creighton-primo.hosted.exlibrisgroup.com/primo-explore/search?tab=default_tab&amp;search_scope=EVERYTHING&amp;vid=01CRU&amp;lang=en_US&amp;offset=0&amp;query=any,contains,991001220329702656","Catalog Record")</f>
        <v/>
      </c>
      <c r="AT995">
        <f>HYPERLINK("http://www.worldcat.org/oclc/196489","WorldCat Record")</f>
        <v/>
      </c>
      <c r="AU995" t="inlineStr">
        <is>
          <t>378259950:eng</t>
        </is>
      </c>
      <c r="AV995" t="inlineStr">
        <is>
          <t>196489</t>
        </is>
      </c>
      <c r="AW995" t="inlineStr">
        <is>
          <t>991001220329702656</t>
        </is>
      </c>
      <c r="AX995" t="inlineStr">
        <is>
          <t>991001220329702656</t>
        </is>
      </c>
      <c r="AY995" t="inlineStr">
        <is>
          <t>2270115100002656</t>
        </is>
      </c>
      <c r="AZ995" t="inlineStr">
        <is>
          <t>BOOK</t>
        </is>
      </c>
      <c r="BC995" t="inlineStr">
        <is>
          <t>32285000079607</t>
        </is>
      </c>
      <c r="BD995" t="inlineStr">
        <is>
          <t>893772412</t>
        </is>
      </c>
    </row>
    <row r="996">
      <c r="A996" t="inlineStr">
        <is>
          <t>No</t>
        </is>
      </c>
      <c r="B996" t="inlineStr">
        <is>
          <t>BV601.6.I5 K813</t>
        </is>
      </c>
      <c r="C996" t="inlineStr">
        <is>
          <t>0                      BV 0601600I  5                  K  813</t>
        </is>
      </c>
      <c r="D996" t="inlineStr">
        <is>
          <t>Infallible? An inquiry / Hans Küng. Translated by Edward Quinn.</t>
        </is>
      </c>
      <c r="F996" t="inlineStr">
        <is>
          <t>No</t>
        </is>
      </c>
      <c r="G996" t="inlineStr">
        <is>
          <t>1</t>
        </is>
      </c>
      <c r="H996" t="inlineStr">
        <is>
          <t>No</t>
        </is>
      </c>
      <c r="I996" t="inlineStr">
        <is>
          <t>No</t>
        </is>
      </c>
      <c r="J996" t="inlineStr">
        <is>
          <t>0</t>
        </is>
      </c>
      <c r="K996" t="inlineStr">
        <is>
          <t>Küng, Hans, 1928-</t>
        </is>
      </c>
      <c r="L996" t="inlineStr">
        <is>
          <t>Garden City, N.Y., Doubleday, 1971.</t>
        </is>
      </c>
      <c r="M996" t="inlineStr">
        <is>
          <t>1971</t>
        </is>
      </c>
      <c r="O996" t="inlineStr">
        <is>
          <t>eng</t>
        </is>
      </c>
      <c r="P996" t="inlineStr">
        <is>
          <t>nyu</t>
        </is>
      </c>
      <c r="R996" t="inlineStr">
        <is>
          <t xml:space="preserve">BV </t>
        </is>
      </c>
      <c r="S996" t="n">
        <v>9</v>
      </c>
      <c r="T996" t="n">
        <v>9</v>
      </c>
      <c r="U996" t="inlineStr">
        <is>
          <t>2010-04-12</t>
        </is>
      </c>
      <c r="V996" t="inlineStr">
        <is>
          <t>2010-04-12</t>
        </is>
      </c>
      <c r="W996" t="inlineStr">
        <is>
          <t>1991-07-11</t>
        </is>
      </c>
      <c r="X996" t="inlineStr">
        <is>
          <t>1991-07-11</t>
        </is>
      </c>
      <c r="Y996" t="n">
        <v>934</v>
      </c>
      <c r="Z996" t="n">
        <v>861</v>
      </c>
      <c r="AA996" t="n">
        <v>993</v>
      </c>
      <c r="AB996" t="n">
        <v>8</v>
      </c>
      <c r="AC996" t="n">
        <v>9</v>
      </c>
      <c r="AD996" t="n">
        <v>48</v>
      </c>
      <c r="AE996" t="n">
        <v>52</v>
      </c>
      <c r="AF996" t="n">
        <v>18</v>
      </c>
      <c r="AG996" t="n">
        <v>21</v>
      </c>
      <c r="AH996" t="n">
        <v>10</v>
      </c>
      <c r="AI996" t="n">
        <v>10</v>
      </c>
      <c r="AJ996" t="n">
        <v>27</v>
      </c>
      <c r="AK996" t="n">
        <v>27</v>
      </c>
      <c r="AL996" t="n">
        <v>5</v>
      </c>
      <c r="AM996" t="n">
        <v>6</v>
      </c>
      <c r="AN996" t="n">
        <v>0</v>
      </c>
      <c r="AO996" t="n">
        <v>0</v>
      </c>
      <c r="AP996" t="inlineStr">
        <is>
          <t>No</t>
        </is>
      </c>
      <c r="AQ996" t="inlineStr">
        <is>
          <t>Yes</t>
        </is>
      </c>
      <c r="AR996">
        <f>HYPERLINK("http://catalog.hathitrust.org/Record/001413287","HathiTrust Record")</f>
        <v/>
      </c>
      <c r="AS996">
        <f>HYPERLINK("https://creighton-primo.hosted.exlibrisgroup.com/primo-explore/search?tab=default_tab&amp;search_scope=EVERYTHING&amp;vid=01CRU&amp;lang=en_US&amp;offset=0&amp;query=any,contains,991000775049702656","Catalog Record")</f>
        <v/>
      </c>
      <c r="AT996">
        <f>HYPERLINK("http://www.worldcat.org/oclc/132286","WorldCat Record")</f>
        <v/>
      </c>
      <c r="AU996" t="inlineStr">
        <is>
          <t>4494928872:eng</t>
        </is>
      </c>
      <c r="AV996" t="inlineStr">
        <is>
          <t>132286</t>
        </is>
      </c>
      <c r="AW996" t="inlineStr">
        <is>
          <t>991000775049702656</t>
        </is>
      </c>
      <c r="AX996" t="inlineStr">
        <is>
          <t>991000775049702656</t>
        </is>
      </c>
      <c r="AY996" t="inlineStr">
        <is>
          <t>2256796900002656</t>
        </is>
      </c>
      <c r="AZ996" t="inlineStr">
        <is>
          <t>BOOK</t>
        </is>
      </c>
      <c r="BC996" t="inlineStr">
        <is>
          <t>32285000637289</t>
        </is>
      </c>
      <c r="BD996" t="inlineStr">
        <is>
          <t>893509098</t>
        </is>
      </c>
    </row>
    <row r="997">
      <c r="A997" t="inlineStr">
        <is>
          <t>No</t>
        </is>
      </c>
      <c r="B997" t="inlineStr">
        <is>
          <t>BV601.6.I5 K82</t>
        </is>
      </c>
      <c r="C997" t="inlineStr">
        <is>
          <t>0                      BV 0601600I  5                  K  82</t>
        </is>
      </c>
      <c r="D997" t="inlineStr">
        <is>
          <t>The Küng dialogue : a documentation on the efforts of the Congregation for the Doctrine of the Faith and of the Conference of German Bishops to achieve appropriate clarification of the controversial views of Dr. Hans Küng (Tübingen).</t>
        </is>
      </c>
      <c r="F997" t="inlineStr">
        <is>
          <t>No</t>
        </is>
      </c>
      <c r="G997" t="inlineStr">
        <is>
          <t>1</t>
        </is>
      </c>
      <c r="H997" t="inlineStr">
        <is>
          <t>No</t>
        </is>
      </c>
      <c r="I997" t="inlineStr">
        <is>
          <t>No</t>
        </is>
      </c>
      <c r="J997" t="inlineStr">
        <is>
          <t>0</t>
        </is>
      </c>
      <c r="L997" t="inlineStr">
        <is>
          <t>Washington, D.C. : U.S. Catholic Conference, c1980.</t>
        </is>
      </c>
      <c r="M997" t="inlineStr">
        <is>
          <t>1980</t>
        </is>
      </c>
      <c r="O997" t="inlineStr">
        <is>
          <t>eng</t>
        </is>
      </c>
      <c r="P997" t="inlineStr">
        <is>
          <t>dcu</t>
        </is>
      </c>
      <c r="R997" t="inlineStr">
        <is>
          <t xml:space="preserve">BV </t>
        </is>
      </c>
      <c r="S997" t="n">
        <v>2</v>
      </c>
      <c r="T997" t="n">
        <v>2</v>
      </c>
      <c r="U997" t="inlineStr">
        <is>
          <t>1999-01-18</t>
        </is>
      </c>
      <c r="V997" t="inlineStr">
        <is>
          <t>1999-01-18</t>
        </is>
      </c>
      <c r="W997" t="inlineStr">
        <is>
          <t>1999-03-04</t>
        </is>
      </c>
      <c r="X997" t="inlineStr">
        <is>
          <t>1999-03-04</t>
        </is>
      </c>
      <c r="Y997" t="n">
        <v>280</v>
      </c>
      <c r="Z997" t="n">
        <v>259</v>
      </c>
      <c r="AA997" t="n">
        <v>261</v>
      </c>
      <c r="AB997" t="n">
        <v>4</v>
      </c>
      <c r="AC997" t="n">
        <v>4</v>
      </c>
      <c r="AD997" t="n">
        <v>34</v>
      </c>
      <c r="AE997" t="n">
        <v>34</v>
      </c>
      <c r="AF997" t="n">
        <v>12</v>
      </c>
      <c r="AG997" t="n">
        <v>12</v>
      </c>
      <c r="AH997" t="n">
        <v>9</v>
      </c>
      <c r="AI997" t="n">
        <v>9</v>
      </c>
      <c r="AJ997" t="n">
        <v>24</v>
      </c>
      <c r="AK997" t="n">
        <v>24</v>
      </c>
      <c r="AL997" t="n">
        <v>2</v>
      </c>
      <c r="AM997" t="n">
        <v>2</v>
      </c>
      <c r="AN997" t="n">
        <v>0</v>
      </c>
      <c r="AO997" t="n">
        <v>0</v>
      </c>
      <c r="AP997" t="inlineStr">
        <is>
          <t>No</t>
        </is>
      </c>
      <c r="AQ997" t="inlineStr">
        <is>
          <t>Yes</t>
        </is>
      </c>
      <c r="AR997">
        <f>HYPERLINK("http://catalog.hathitrust.org/Record/000313455","HathiTrust Record")</f>
        <v/>
      </c>
      <c r="AS997">
        <f>HYPERLINK("https://creighton-primo.hosted.exlibrisgroup.com/primo-explore/search?tab=default_tab&amp;search_scope=EVERYTHING&amp;vid=01CRU&amp;lang=en_US&amp;offset=0&amp;query=any,contains,991005078219702656","Catalog Record")</f>
        <v/>
      </c>
      <c r="AT997">
        <f>HYPERLINK("http://www.worldcat.org/oclc/7157073","WorldCat Record")</f>
        <v/>
      </c>
      <c r="AU997" t="inlineStr">
        <is>
          <t>25506229:eng</t>
        </is>
      </c>
      <c r="AV997" t="inlineStr">
        <is>
          <t>7157073</t>
        </is>
      </c>
      <c r="AW997" t="inlineStr">
        <is>
          <t>991005078219702656</t>
        </is>
      </c>
      <c r="AX997" t="inlineStr">
        <is>
          <t>991005078219702656</t>
        </is>
      </c>
      <c r="AY997" t="inlineStr">
        <is>
          <t>2267810290002656</t>
        </is>
      </c>
      <c r="AZ997" t="inlineStr">
        <is>
          <t>BOOK</t>
        </is>
      </c>
      <c r="BC997" t="inlineStr">
        <is>
          <t>32285003263117</t>
        </is>
      </c>
      <c r="BD997" t="inlineStr">
        <is>
          <t>893520384</t>
        </is>
      </c>
    </row>
    <row r="998">
      <c r="A998" t="inlineStr">
        <is>
          <t>No</t>
        </is>
      </c>
      <c r="B998" t="inlineStr">
        <is>
          <t>BV601.8 .B35 2005</t>
        </is>
      </c>
      <c r="C998" t="inlineStr">
        <is>
          <t>0                      BV 0601800B  35          2005</t>
        </is>
      </c>
      <c r="D998" t="inlineStr">
        <is>
          <t>Being Catholic : from the heart : reflections on mission, identity and the Catholic school : keynote address / Gordon D. Bennett.</t>
        </is>
      </c>
      <c r="F998" t="inlineStr">
        <is>
          <t>No</t>
        </is>
      </c>
      <c r="G998" t="inlineStr">
        <is>
          <t>1</t>
        </is>
      </c>
      <c r="H998" t="inlineStr">
        <is>
          <t>No</t>
        </is>
      </c>
      <c r="I998" t="inlineStr">
        <is>
          <t>No</t>
        </is>
      </c>
      <c r="J998" t="inlineStr">
        <is>
          <t>0</t>
        </is>
      </c>
      <c r="K998" t="inlineStr">
        <is>
          <t>Bennett, Gordon D., S.J.</t>
        </is>
      </c>
      <c r="L998" t="inlineStr">
        <is>
          <t>Washington, DC : National Catholic Educational Association, c2005.</t>
        </is>
      </c>
      <c r="M998" t="inlineStr">
        <is>
          <t>2005</t>
        </is>
      </c>
      <c r="O998" t="inlineStr">
        <is>
          <t>eng</t>
        </is>
      </c>
      <c r="P998" t="inlineStr">
        <is>
          <t>dcu</t>
        </is>
      </c>
      <c r="R998" t="inlineStr">
        <is>
          <t xml:space="preserve">BV </t>
        </is>
      </c>
      <c r="S998" t="n">
        <v>3</v>
      </c>
      <c r="T998" t="n">
        <v>3</v>
      </c>
      <c r="U998" t="inlineStr">
        <is>
          <t>2010-05-28</t>
        </is>
      </c>
      <c r="V998" t="inlineStr">
        <is>
          <t>2010-05-28</t>
        </is>
      </c>
      <c r="W998" t="inlineStr">
        <is>
          <t>2006-03-14</t>
        </is>
      </c>
      <c r="X998" t="inlineStr">
        <is>
          <t>2006-03-14</t>
        </is>
      </c>
      <c r="Y998" t="n">
        <v>15</v>
      </c>
      <c r="Z998" t="n">
        <v>14</v>
      </c>
      <c r="AA998" t="n">
        <v>14</v>
      </c>
      <c r="AB998" t="n">
        <v>1</v>
      </c>
      <c r="AC998" t="n">
        <v>1</v>
      </c>
      <c r="AD998" t="n">
        <v>5</v>
      </c>
      <c r="AE998" t="n">
        <v>5</v>
      </c>
      <c r="AF998" t="n">
        <v>2</v>
      </c>
      <c r="AG998" t="n">
        <v>2</v>
      </c>
      <c r="AH998" t="n">
        <v>1</v>
      </c>
      <c r="AI998" t="n">
        <v>1</v>
      </c>
      <c r="AJ998" t="n">
        <v>3</v>
      </c>
      <c r="AK998" t="n">
        <v>3</v>
      </c>
      <c r="AL998" t="n">
        <v>0</v>
      </c>
      <c r="AM998" t="n">
        <v>0</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HYPERLINK("https://creighton-primo.hosted.exlibrisgroup.com/primo-explore/search?tab=default_tab&amp;search_scope=EVERYTHING&amp;vid=01CRU&amp;lang=en_US&amp;offset=0&amp;query=any,contains,991004765079702656","Catalog Record")</f>
        <v/>
      </c>
      <c r="AT998">
        <f>HYPERLINK("http://www.worldcat.org/oclc/63204837","WorldCat Record")</f>
        <v/>
      </c>
      <c r="AU998" t="inlineStr">
        <is>
          <t>47390465:eng</t>
        </is>
      </c>
      <c r="AV998" t="inlineStr">
        <is>
          <t>63204837</t>
        </is>
      </c>
      <c r="AW998" t="inlineStr">
        <is>
          <t>991004765079702656</t>
        </is>
      </c>
      <c r="AX998" t="inlineStr">
        <is>
          <t>991004765079702656</t>
        </is>
      </c>
      <c r="AY998" t="inlineStr">
        <is>
          <t>2258667150002656</t>
        </is>
      </c>
      <c r="AZ998" t="inlineStr">
        <is>
          <t>BOOK</t>
        </is>
      </c>
      <c r="BB998" t="inlineStr">
        <is>
          <t>9781558333642</t>
        </is>
      </c>
      <c r="BC998" t="inlineStr">
        <is>
          <t>32285005165310</t>
        </is>
      </c>
      <c r="BD998" t="inlineStr">
        <is>
          <t>893443024</t>
        </is>
      </c>
    </row>
    <row r="999">
      <c r="A999" t="inlineStr">
        <is>
          <t>No</t>
        </is>
      </c>
      <c r="B999" t="inlineStr">
        <is>
          <t>BV601.8 .B675 1985</t>
        </is>
      </c>
      <c r="C999" t="inlineStr">
        <is>
          <t>0                      BV 0601800B  675         1985</t>
        </is>
      </c>
      <c r="D999" t="inlineStr">
        <is>
          <t>The apostolic imperative : nature and aim of the church's mission and ministry / Carl E. Braaten.</t>
        </is>
      </c>
      <c r="F999" t="inlineStr">
        <is>
          <t>No</t>
        </is>
      </c>
      <c r="G999" t="inlineStr">
        <is>
          <t>1</t>
        </is>
      </c>
      <c r="H999" t="inlineStr">
        <is>
          <t>No</t>
        </is>
      </c>
      <c r="I999" t="inlineStr">
        <is>
          <t>No</t>
        </is>
      </c>
      <c r="J999" t="inlineStr">
        <is>
          <t>0</t>
        </is>
      </c>
      <c r="K999" t="inlineStr">
        <is>
          <t>Braaten, Carl E., 1929-</t>
        </is>
      </c>
      <c r="L999" t="inlineStr">
        <is>
          <t>Minneapolis : Augsburg Pub. House, c1985.</t>
        </is>
      </c>
      <c r="M999" t="inlineStr">
        <is>
          <t>1985</t>
        </is>
      </c>
      <c r="O999" t="inlineStr">
        <is>
          <t>eng</t>
        </is>
      </c>
      <c r="P999" t="inlineStr">
        <is>
          <t>mnu</t>
        </is>
      </c>
      <c r="R999" t="inlineStr">
        <is>
          <t xml:space="preserve">BV </t>
        </is>
      </c>
      <c r="S999" t="n">
        <v>4</v>
      </c>
      <c r="T999" t="n">
        <v>4</v>
      </c>
      <c r="U999" t="inlineStr">
        <is>
          <t>1998-05-17</t>
        </is>
      </c>
      <c r="V999" t="inlineStr">
        <is>
          <t>1998-05-17</t>
        </is>
      </c>
      <c r="W999" t="inlineStr">
        <is>
          <t>1992-01-10</t>
        </is>
      </c>
      <c r="X999" t="inlineStr">
        <is>
          <t>1992-01-10</t>
        </is>
      </c>
      <c r="Y999" t="n">
        <v>226</v>
      </c>
      <c r="Z999" t="n">
        <v>182</v>
      </c>
      <c r="AA999" t="n">
        <v>183</v>
      </c>
      <c r="AB999" t="n">
        <v>3</v>
      </c>
      <c r="AC999" t="n">
        <v>3</v>
      </c>
      <c r="AD999" t="n">
        <v>13</v>
      </c>
      <c r="AE999" t="n">
        <v>13</v>
      </c>
      <c r="AF999" t="n">
        <v>3</v>
      </c>
      <c r="AG999" t="n">
        <v>3</v>
      </c>
      <c r="AH999" t="n">
        <v>1</v>
      </c>
      <c r="AI999" t="n">
        <v>1</v>
      </c>
      <c r="AJ999" t="n">
        <v>9</v>
      </c>
      <c r="AK999" t="n">
        <v>9</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HYPERLINK("https://creighton-primo.hosted.exlibrisgroup.com/primo-explore/search?tab=default_tab&amp;search_scope=EVERYTHING&amp;vid=01CRU&amp;lang=en_US&amp;offset=0&amp;query=any,contains,991000625579702656","Catalog Record")</f>
        <v/>
      </c>
      <c r="AT999">
        <f>HYPERLINK("http://www.worldcat.org/oclc/12021941","WorldCat Record")</f>
        <v/>
      </c>
      <c r="AU999" t="inlineStr">
        <is>
          <t>138559482:eng</t>
        </is>
      </c>
      <c r="AV999" t="inlineStr">
        <is>
          <t>12021941</t>
        </is>
      </c>
      <c r="AW999" t="inlineStr">
        <is>
          <t>991000625579702656</t>
        </is>
      </c>
      <c r="AX999" t="inlineStr">
        <is>
          <t>991000625579702656</t>
        </is>
      </c>
      <c r="AY999" t="inlineStr">
        <is>
          <t>2270652330002656</t>
        </is>
      </c>
      <c r="AZ999" t="inlineStr">
        <is>
          <t>BOOK</t>
        </is>
      </c>
      <c r="BB999" t="inlineStr">
        <is>
          <t>9780806621685</t>
        </is>
      </c>
      <c r="BC999" t="inlineStr">
        <is>
          <t>32285000903277</t>
        </is>
      </c>
      <c r="BD999" t="inlineStr">
        <is>
          <t>893614352</t>
        </is>
      </c>
    </row>
    <row r="1000">
      <c r="A1000" t="inlineStr">
        <is>
          <t>No</t>
        </is>
      </c>
      <c r="B1000" t="inlineStr">
        <is>
          <t>BV601.8 .M43 1991</t>
        </is>
      </c>
      <c r="C1000" t="inlineStr">
        <is>
          <t>0                      BV 0601800M  43          1991</t>
        </is>
      </c>
      <c r="D1000" t="inlineStr">
        <is>
          <t>The once and future church : reinventing the congregation for a new mission frontier / Loren B. Mead.</t>
        </is>
      </c>
      <c r="F1000" t="inlineStr">
        <is>
          <t>No</t>
        </is>
      </c>
      <c r="G1000" t="inlineStr">
        <is>
          <t>1</t>
        </is>
      </c>
      <c r="H1000" t="inlineStr">
        <is>
          <t>No</t>
        </is>
      </c>
      <c r="I1000" t="inlineStr">
        <is>
          <t>No</t>
        </is>
      </c>
      <c r="J1000" t="inlineStr">
        <is>
          <t>0</t>
        </is>
      </c>
      <c r="K1000" t="inlineStr">
        <is>
          <t>Mead, Loren B.</t>
        </is>
      </c>
      <c r="L1000" t="inlineStr">
        <is>
          <t>Washington, [D.C.] : Alban Institute, c1991.</t>
        </is>
      </c>
      <c r="M1000" t="inlineStr">
        <is>
          <t>1991</t>
        </is>
      </c>
      <c r="O1000" t="inlineStr">
        <is>
          <t>eng</t>
        </is>
      </c>
      <c r="P1000" t="inlineStr">
        <is>
          <t>dcu</t>
        </is>
      </c>
      <c r="R1000" t="inlineStr">
        <is>
          <t xml:space="preserve">BV </t>
        </is>
      </c>
      <c r="S1000" t="n">
        <v>1</v>
      </c>
      <c r="T1000" t="n">
        <v>1</v>
      </c>
      <c r="U1000" t="inlineStr">
        <is>
          <t>2009-07-28</t>
        </is>
      </c>
      <c r="V1000" t="inlineStr">
        <is>
          <t>2009-07-28</t>
        </is>
      </c>
      <c r="W1000" t="inlineStr">
        <is>
          <t>2009-07-27</t>
        </is>
      </c>
      <c r="X1000" t="inlineStr">
        <is>
          <t>2009-07-27</t>
        </is>
      </c>
      <c r="Y1000" t="n">
        <v>300</v>
      </c>
      <c r="Z1000" t="n">
        <v>238</v>
      </c>
      <c r="AA1000" t="n">
        <v>255</v>
      </c>
      <c r="AB1000" t="n">
        <v>3</v>
      </c>
      <c r="AC1000" t="n">
        <v>3</v>
      </c>
      <c r="AD1000" t="n">
        <v>10</v>
      </c>
      <c r="AE1000" t="n">
        <v>11</v>
      </c>
      <c r="AF1000" t="n">
        <v>5</v>
      </c>
      <c r="AG1000" t="n">
        <v>6</v>
      </c>
      <c r="AH1000" t="n">
        <v>1</v>
      </c>
      <c r="AI1000" t="n">
        <v>2</v>
      </c>
      <c r="AJ1000" t="n">
        <v>4</v>
      </c>
      <c r="AK1000" t="n">
        <v>4</v>
      </c>
      <c r="AL1000" t="n">
        <v>1</v>
      </c>
      <c r="AM1000" t="n">
        <v>1</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HYPERLINK("https://creighton-primo.hosted.exlibrisgroup.com/primo-explore/search?tab=default_tab&amp;search_scope=EVERYTHING&amp;vid=01CRU&amp;lang=en_US&amp;offset=0&amp;query=any,contains,991005328129702656","Catalog Record")</f>
        <v/>
      </c>
      <c r="AT1000">
        <f>HYPERLINK("http://www.worldcat.org/oclc/25408644","WorldCat Record")</f>
        <v/>
      </c>
      <c r="AU1000" t="inlineStr">
        <is>
          <t>960649894:eng</t>
        </is>
      </c>
      <c r="AV1000" t="inlineStr">
        <is>
          <t>25408644</t>
        </is>
      </c>
      <c r="AW1000" t="inlineStr">
        <is>
          <t>991005328129702656</t>
        </is>
      </c>
      <c r="AX1000" t="inlineStr">
        <is>
          <t>991005328129702656</t>
        </is>
      </c>
      <c r="AY1000" t="inlineStr">
        <is>
          <t>2267095520002656</t>
        </is>
      </c>
      <c r="AZ1000" t="inlineStr">
        <is>
          <t>BOOK</t>
        </is>
      </c>
      <c r="BB1000" t="inlineStr">
        <is>
          <t>9781566990509</t>
        </is>
      </c>
      <c r="BC1000" t="inlineStr">
        <is>
          <t>32285005539472</t>
        </is>
      </c>
      <c r="BD1000" t="inlineStr">
        <is>
          <t>893424914</t>
        </is>
      </c>
    </row>
    <row r="1001">
      <c r="A1001" t="inlineStr">
        <is>
          <t>No</t>
        </is>
      </c>
      <c r="B1001" t="inlineStr">
        <is>
          <t>BV601.85 .W35 1985</t>
        </is>
      </c>
      <c r="C1001" t="inlineStr">
        <is>
          <t>0                      BV 0601850W  35          1985</t>
        </is>
      </c>
      <c r="D1001" t="inlineStr">
        <is>
          <t>Restoring the Kingdom, : the radical Christianity of the House Church Movement / Andrew Walker.</t>
        </is>
      </c>
      <c r="F1001" t="inlineStr">
        <is>
          <t>No</t>
        </is>
      </c>
      <c r="G1001" t="inlineStr">
        <is>
          <t>1</t>
        </is>
      </c>
      <c r="H1001" t="inlineStr">
        <is>
          <t>No</t>
        </is>
      </c>
      <c r="I1001" t="inlineStr">
        <is>
          <t>No</t>
        </is>
      </c>
      <c r="J1001" t="inlineStr">
        <is>
          <t>0</t>
        </is>
      </c>
      <c r="K1001" t="inlineStr">
        <is>
          <t>Walker, Andrew, 1945-</t>
        </is>
      </c>
      <c r="L1001" t="inlineStr">
        <is>
          <t>London : Hodder &amp; Stoughton, c1985, 1986 printing.</t>
        </is>
      </c>
      <c r="M1001" t="inlineStr">
        <is>
          <t>1985</t>
        </is>
      </c>
      <c r="O1001" t="inlineStr">
        <is>
          <t>eng</t>
        </is>
      </c>
      <c r="P1001" t="inlineStr">
        <is>
          <t>enk</t>
        </is>
      </c>
      <c r="R1001" t="inlineStr">
        <is>
          <t xml:space="preserve">BV </t>
        </is>
      </c>
      <c r="S1001" t="n">
        <v>1</v>
      </c>
      <c r="T1001" t="n">
        <v>1</v>
      </c>
      <c r="U1001" t="inlineStr">
        <is>
          <t>1994-01-31</t>
        </is>
      </c>
      <c r="V1001" t="inlineStr">
        <is>
          <t>1994-01-31</t>
        </is>
      </c>
      <c r="W1001" t="inlineStr">
        <is>
          <t>1992-01-10</t>
        </is>
      </c>
      <c r="X1001" t="inlineStr">
        <is>
          <t>1992-01-10</t>
        </is>
      </c>
      <c r="Y1001" t="n">
        <v>84</v>
      </c>
      <c r="Z1001" t="n">
        <v>34</v>
      </c>
      <c r="AA1001" t="n">
        <v>59</v>
      </c>
      <c r="AB1001" t="n">
        <v>1</v>
      </c>
      <c r="AC1001" t="n">
        <v>1</v>
      </c>
      <c r="AD1001" t="n">
        <v>2</v>
      </c>
      <c r="AE1001" t="n">
        <v>4</v>
      </c>
      <c r="AF1001" t="n">
        <v>0</v>
      </c>
      <c r="AG1001" t="n">
        <v>1</v>
      </c>
      <c r="AH1001" t="n">
        <v>0</v>
      </c>
      <c r="AI1001" t="n">
        <v>0</v>
      </c>
      <c r="AJ1001" t="n">
        <v>2</v>
      </c>
      <c r="AK1001" t="n">
        <v>3</v>
      </c>
      <c r="AL1001" t="n">
        <v>0</v>
      </c>
      <c r="AM1001" t="n">
        <v>0</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HYPERLINK("https://creighton-primo.hosted.exlibrisgroup.com/primo-explore/search?tab=default_tab&amp;search_scope=EVERYTHING&amp;vid=01CRU&amp;lang=en_US&amp;offset=0&amp;query=any,contains,991000696029702656","Catalog Record")</f>
        <v/>
      </c>
      <c r="AT1001">
        <f>HYPERLINK("http://www.worldcat.org/oclc/12513723","WorldCat Record")</f>
        <v/>
      </c>
      <c r="AU1001" t="inlineStr">
        <is>
          <t>4921763:eng</t>
        </is>
      </c>
      <c r="AV1001" t="inlineStr">
        <is>
          <t>12513723</t>
        </is>
      </c>
      <c r="AW1001" t="inlineStr">
        <is>
          <t>991000696029702656</t>
        </is>
      </c>
      <c r="AX1001" t="inlineStr">
        <is>
          <t>991000696029702656</t>
        </is>
      </c>
      <c r="AY1001" t="inlineStr">
        <is>
          <t>2255922500002656</t>
        </is>
      </c>
      <c r="AZ1001" t="inlineStr">
        <is>
          <t>BOOK</t>
        </is>
      </c>
      <c r="BB1001" t="inlineStr">
        <is>
          <t>9780340372807</t>
        </is>
      </c>
      <c r="BC1001" t="inlineStr">
        <is>
          <t>32285000903327</t>
        </is>
      </c>
      <c r="BD1001" t="inlineStr">
        <is>
          <t>893419696</t>
        </is>
      </c>
    </row>
    <row r="1002">
      <c r="A1002" t="inlineStr">
        <is>
          <t>No</t>
        </is>
      </c>
      <c r="B1002" t="inlineStr">
        <is>
          <t>BV603 .C63 1982</t>
        </is>
      </c>
      <c r="C1002" t="inlineStr">
        <is>
          <t>0                      BV 0603000C  63          1982</t>
        </is>
      </c>
      <c r="D1002" t="inlineStr">
        <is>
          <t>Communio Sanctorum : mélanges offerts à Jean-Jacques von Allmen / B. Bobrinskoy ... [et al.].</t>
        </is>
      </c>
      <c r="F1002" t="inlineStr">
        <is>
          <t>No</t>
        </is>
      </c>
      <c r="G1002" t="inlineStr">
        <is>
          <t>1</t>
        </is>
      </c>
      <c r="H1002" t="inlineStr">
        <is>
          <t>No</t>
        </is>
      </c>
      <c r="I1002" t="inlineStr">
        <is>
          <t>No</t>
        </is>
      </c>
      <c r="J1002" t="inlineStr">
        <is>
          <t>0</t>
        </is>
      </c>
      <c r="L1002" t="inlineStr">
        <is>
          <t>Genève : Labor et fides, c1982.</t>
        </is>
      </c>
      <c r="M1002" t="inlineStr">
        <is>
          <t>1982</t>
        </is>
      </c>
      <c r="O1002" t="inlineStr">
        <is>
          <t>fre</t>
        </is>
      </c>
      <c r="P1002" t="inlineStr">
        <is>
          <t xml:space="preserve">sz </t>
        </is>
      </c>
      <c r="R1002" t="inlineStr">
        <is>
          <t xml:space="preserve">BV </t>
        </is>
      </c>
      <c r="S1002" t="n">
        <v>1</v>
      </c>
      <c r="T1002" t="n">
        <v>1</v>
      </c>
      <c r="U1002" t="inlineStr">
        <is>
          <t>1993-03-25</t>
        </is>
      </c>
      <c r="V1002" t="inlineStr">
        <is>
          <t>1993-03-25</t>
        </is>
      </c>
      <c r="W1002" t="inlineStr">
        <is>
          <t>1992-01-10</t>
        </is>
      </c>
      <c r="X1002" t="inlineStr">
        <is>
          <t>1992-01-10</t>
        </is>
      </c>
      <c r="Y1002" t="n">
        <v>63</v>
      </c>
      <c r="Z1002" t="n">
        <v>36</v>
      </c>
      <c r="AA1002" t="n">
        <v>36</v>
      </c>
      <c r="AB1002" t="n">
        <v>1</v>
      </c>
      <c r="AC1002" t="n">
        <v>1</v>
      </c>
      <c r="AD1002" t="n">
        <v>5</v>
      </c>
      <c r="AE1002" t="n">
        <v>5</v>
      </c>
      <c r="AF1002" t="n">
        <v>0</v>
      </c>
      <c r="AG1002" t="n">
        <v>0</v>
      </c>
      <c r="AH1002" t="n">
        <v>2</v>
      </c>
      <c r="AI1002" t="n">
        <v>2</v>
      </c>
      <c r="AJ1002" t="n">
        <v>4</v>
      </c>
      <c r="AK1002" t="n">
        <v>4</v>
      </c>
      <c r="AL1002" t="n">
        <v>0</v>
      </c>
      <c r="AM1002" t="n">
        <v>0</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HYPERLINK("https://creighton-primo.hosted.exlibrisgroup.com/primo-explore/search?tab=default_tab&amp;search_scope=EVERYTHING&amp;vid=01CRU&amp;lang=en_US&amp;offset=0&amp;query=any,contains,991000222889702656","Catalog Record")</f>
        <v/>
      </c>
      <c r="AT1002">
        <f>HYPERLINK("http://www.worldcat.org/oclc/9579005","WorldCat Record")</f>
        <v/>
      </c>
      <c r="AU1002" t="inlineStr">
        <is>
          <t>889339169:fre</t>
        </is>
      </c>
      <c r="AV1002" t="inlineStr">
        <is>
          <t>9579005</t>
        </is>
      </c>
      <c r="AW1002" t="inlineStr">
        <is>
          <t>991000222889702656</t>
        </is>
      </c>
      <c r="AX1002" t="inlineStr">
        <is>
          <t>991000222889702656</t>
        </is>
      </c>
      <c r="AY1002" t="inlineStr">
        <is>
          <t>2272304460002656</t>
        </is>
      </c>
      <c r="AZ1002" t="inlineStr">
        <is>
          <t>BOOK</t>
        </is>
      </c>
      <c r="BC1002" t="inlineStr">
        <is>
          <t>32285000903368</t>
        </is>
      </c>
      <c r="BD1002" t="inlineStr">
        <is>
          <t>893614030</t>
        </is>
      </c>
    </row>
    <row r="1003">
      <c r="A1003" t="inlineStr">
        <is>
          <t>No</t>
        </is>
      </c>
      <c r="B1003" t="inlineStr">
        <is>
          <t>BV603 .M44 1978a</t>
        </is>
      </c>
      <c r="C1003" t="inlineStr">
        <is>
          <t>0                      BV 0603000M  44          1978a</t>
        </is>
      </c>
      <c r="D1003" t="inlineStr">
        <is>
          <t>The open church : invitation to a messianic lifestyle / Jürgen Moltmann ; [translated with an introd. by M. Douglas Meeks].</t>
        </is>
      </c>
      <c r="F1003" t="inlineStr">
        <is>
          <t>No</t>
        </is>
      </c>
      <c r="G1003" t="inlineStr">
        <is>
          <t>1</t>
        </is>
      </c>
      <c r="H1003" t="inlineStr">
        <is>
          <t>No</t>
        </is>
      </c>
      <c r="I1003" t="inlineStr">
        <is>
          <t>No</t>
        </is>
      </c>
      <c r="J1003" t="inlineStr">
        <is>
          <t>0</t>
        </is>
      </c>
      <c r="K1003" t="inlineStr">
        <is>
          <t>Moltmann, Jürgen.</t>
        </is>
      </c>
      <c r="L1003" t="inlineStr">
        <is>
          <t>London : SCM Press, 1978.</t>
        </is>
      </c>
      <c r="M1003" t="inlineStr">
        <is>
          <t>1978</t>
        </is>
      </c>
      <c r="N1003" t="inlineStr">
        <is>
          <t>1st British ed.</t>
        </is>
      </c>
      <c r="O1003" t="inlineStr">
        <is>
          <t>eng</t>
        </is>
      </c>
      <c r="P1003" t="inlineStr">
        <is>
          <t>enk</t>
        </is>
      </c>
      <c r="R1003" t="inlineStr">
        <is>
          <t xml:space="preserve">BV </t>
        </is>
      </c>
      <c r="S1003" t="n">
        <v>1</v>
      </c>
      <c r="T1003" t="n">
        <v>1</v>
      </c>
      <c r="U1003" t="inlineStr">
        <is>
          <t>2009-06-15</t>
        </is>
      </c>
      <c r="V1003" t="inlineStr">
        <is>
          <t>2009-06-15</t>
        </is>
      </c>
      <c r="W1003" t="inlineStr">
        <is>
          <t>1992-01-10</t>
        </is>
      </c>
      <c r="X1003" t="inlineStr">
        <is>
          <t>1992-01-10</t>
        </is>
      </c>
      <c r="Y1003" t="n">
        <v>147</v>
      </c>
      <c r="Z1003" t="n">
        <v>65</v>
      </c>
      <c r="AA1003" t="n">
        <v>81</v>
      </c>
      <c r="AB1003" t="n">
        <v>1</v>
      </c>
      <c r="AC1003" t="n">
        <v>1</v>
      </c>
      <c r="AD1003" t="n">
        <v>5</v>
      </c>
      <c r="AE1003" t="n">
        <v>5</v>
      </c>
      <c r="AF1003" t="n">
        <v>1</v>
      </c>
      <c r="AG1003" t="n">
        <v>1</v>
      </c>
      <c r="AH1003" t="n">
        <v>1</v>
      </c>
      <c r="AI1003" t="n">
        <v>1</v>
      </c>
      <c r="AJ1003" t="n">
        <v>3</v>
      </c>
      <c r="AK1003" t="n">
        <v>3</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HYPERLINK("https://creighton-primo.hosted.exlibrisgroup.com/primo-explore/search?tab=default_tab&amp;search_scope=EVERYTHING&amp;vid=01CRU&amp;lang=en_US&amp;offset=0&amp;query=any,contains,991004519999702656","Catalog Record")</f>
        <v/>
      </c>
      <c r="AT1003">
        <f>HYPERLINK("http://www.worldcat.org/oclc/3809942","WorldCat Record")</f>
        <v/>
      </c>
      <c r="AU1003" t="inlineStr">
        <is>
          <t>4061472666:eng</t>
        </is>
      </c>
      <c r="AV1003" t="inlineStr">
        <is>
          <t>3809942</t>
        </is>
      </c>
      <c r="AW1003" t="inlineStr">
        <is>
          <t>991004519999702656</t>
        </is>
      </c>
      <c r="AX1003" t="inlineStr">
        <is>
          <t>991004519999702656</t>
        </is>
      </c>
      <c r="AY1003" t="inlineStr">
        <is>
          <t>2267670330002656</t>
        </is>
      </c>
      <c r="AZ1003" t="inlineStr">
        <is>
          <t>BOOK</t>
        </is>
      </c>
      <c r="BB1003" t="inlineStr">
        <is>
          <t>9780334011873</t>
        </is>
      </c>
      <c r="BC1003" t="inlineStr">
        <is>
          <t>32285000903384</t>
        </is>
      </c>
      <c r="BD1003" t="inlineStr">
        <is>
          <t>893259816</t>
        </is>
      </c>
    </row>
    <row r="1004">
      <c r="A1004" t="inlineStr">
        <is>
          <t>No</t>
        </is>
      </c>
      <c r="B1004" t="inlineStr">
        <is>
          <t>BV603 .P3</t>
        </is>
      </c>
      <c r="C1004" t="inlineStr">
        <is>
          <t>0                      BV 0603000P  3</t>
        </is>
      </c>
      <c r="D1004" t="inlineStr">
        <is>
          <t>Spirit, faith, and church / by Wolfhart Pannenberg, Avery Dulles [and] Carl E. Braaten.</t>
        </is>
      </c>
      <c r="F1004" t="inlineStr">
        <is>
          <t>No</t>
        </is>
      </c>
      <c r="G1004" t="inlineStr">
        <is>
          <t>1</t>
        </is>
      </c>
      <c r="H1004" t="inlineStr">
        <is>
          <t>No</t>
        </is>
      </c>
      <c r="I1004" t="inlineStr">
        <is>
          <t>No</t>
        </is>
      </c>
      <c r="J1004" t="inlineStr">
        <is>
          <t>0</t>
        </is>
      </c>
      <c r="K1004" t="inlineStr">
        <is>
          <t>Pannenberg, Wolfhart, 1928-2014.</t>
        </is>
      </c>
      <c r="L1004" t="inlineStr">
        <is>
          <t>Philadelphia, Westminster Press [1970]</t>
        </is>
      </c>
      <c r="M1004" t="inlineStr">
        <is>
          <t>1970</t>
        </is>
      </c>
      <c r="O1004" t="inlineStr">
        <is>
          <t>eng</t>
        </is>
      </c>
      <c r="P1004" t="inlineStr">
        <is>
          <t>pau</t>
        </is>
      </c>
      <c r="Q1004" t="inlineStr">
        <is>
          <t>The Walter and Mary Tuohy Chair lectures, 1969</t>
        </is>
      </c>
      <c r="R1004" t="inlineStr">
        <is>
          <t xml:space="preserve">BV </t>
        </is>
      </c>
      <c r="S1004" t="n">
        <v>6</v>
      </c>
      <c r="T1004" t="n">
        <v>6</v>
      </c>
      <c r="U1004" t="inlineStr">
        <is>
          <t>2000-12-20</t>
        </is>
      </c>
      <c r="V1004" t="inlineStr">
        <is>
          <t>2000-12-20</t>
        </is>
      </c>
      <c r="W1004" t="inlineStr">
        <is>
          <t>1991-12-30</t>
        </is>
      </c>
      <c r="X1004" t="inlineStr">
        <is>
          <t>1991-12-30</t>
        </is>
      </c>
      <c r="Y1004" t="n">
        <v>428</v>
      </c>
      <c r="Z1004" t="n">
        <v>370</v>
      </c>
      <c r="AA1004" t="n">
        <v>375</v>
      </c>
      <c r="AB1004" t="n">
        <v>4</v>
      </c>
      <c r="AC1004" t="n">
        <v>4</v>
      </c>
      <c r="AD1004" t="n">
        <v>31</v>
      </c>
      <c r="AE1004" t="n">
        <v>31</v>
      </c>
      <c r="AF1004" t="n">
        <v>12</v>
      </c>
      <c r="AG1004" t="n">
        <v>12</v>
      </c>
      <c r="AH1004" t="n">
        <v>6</v>
      </c>
      <c r="AI1004" t="n">
        <v>6</v>
      </c>
      <c r="AJ1004" t="n">
        <v>20</v>
      </c>
      <c r="AK1004" t="n">
        <v>20</v>
      </c>
      <c r="AL1004" t="n">
        <v>3</v>
      </c>
      <c r="AM1004" t="n">
        <v>3</v>
      </c>
      <c r="AN1004" t="n">
        <v>0</v>
      </c>
      <c r="AO1004" t="n">
        <v>0</v>
      </c>
      <c r="AP1004" t="inlineStr">
        <is>
          <t>No</t>
        </is>
      </c>
      <c r="AQ1004" t="inlineStr">
        <is>
          <t>Yes</t>
        </is>
      </c>
      <c r="AR1004">
        <f>HYPERLINK("http://catalog.hathitrust.org/Record/006018539","HathiTrust Record")</f>
        <v/>
      </c>
      <c r="AS1004">
        <f>HYPERLINK("https://creighton-primo.hosted.exlibrisgroup.com/primo-explore/search?tab=default_tab&amp;search_scope=EVERYTHING&amp;vid=01CRU&amp;lang=en_US&amp;offset=0&amp;query=any,contains,991000268539702656","Catalog Record")</f>
        <v/>
      </c>
      <c r="AT1004">
        <f>HYPERLINK("http://www.worldcat.org/oclc/68434","WorldCat Record")</f>
        <v/>
      </c>
      <c r="AU1004" t="inlineStr">
        <is>
          <t>4417352147:eng</t>
        </is>
      </c>
      <c r="AV1004" t="inlineStr">
        <is>
          <t>68434</t>
        </is>
      </c>
      <c r="AW1004" t="inlineStr">
        <is>
          <t>991000268539702656</t>
        </is>
      </c>
      <c r="AX1004" t="inlineStr">
        <is>
          <t>991000268539702656</t>
        </is>
      </c>
      <c r="AY1004" t="inlineStr">
        <is>
          <t>2257714810002656</t>
        </is>
      </c>
      <c r="AZ1004" t="inlineStr">
        <is>
          <t>BOOK</t>
        </is>
      </c>
      <c r="BB1004" t="inlineStr">
        <is>
          <t>9780664208806</t>
        </is>
      </c>
      <c r="BC1004" t="inlineStr">
        <is>
          <t>32285000881580</t>
        </is>
      </c>
      <c r="BD1004" t="inlineStr">
        <is>
          <t>893345519</t>
        </is>
      </c>
    </row>
    <row r="1005">
      <c r="A1005" t="inlineStr">
        <is>
          <t>No</t>
        </is>
      </c>
      <c r="B1005" t="inlineStr">
        <is>
          <t>BV610 .S34 1986</t>
        </is>
      </c>
      <c r="C1005" t="inlineStr">
        <is>
          <t>0                      BV 0610000S  34          1986</t>
        </is>
      </c>
      <c r="D1005" t="inlineStr">
        <is>
          <t>Principles of Christian morality / Heinz Schürmann, Joseph Cardinal Ratzinger, Hans Urs Von Balthasar ; translated by Graham Harrison.</t>
        </is>
      </c>
      <c r="F1005" t="inlineStr">
        <is>
          <t>No</t>
        </is>
      </c>
      <c r="G1005" t="inlineStr">
        <is>
          <t>1</t>
        </is>
      </c>
      <c r="H1005" t="inlineStr">
        <is>
          <t>No</t>
        </is>
      </c>
      <c r="I1005" t="inlineStr">
        <is>
          <t>No</t>
        </is>
      </c>
      <c r="J1005" t="inlineStr">
        <is>
          <t>0</t>
        </is>
      </c>
      <c r="K1005" t="inlineStr">
        <is>
          <t>Schürmann, Heinz.</t>
        </is>
      </c>
      <c r="L1005" t="inlineStr">
        <is>
          <t>San Francisco : Ignatius Press, c1986.</t>
        </is>
      </c>
      <c r="M1005" t="inlineStr">
        <is>
          <t>1986</t>
        </is>
      </c>
      <c r="O1005" t="inlineStr">
        <is>
          <t>eng</t>
        </is>
      </c>
      <c r="P1005" t="inlineStr">
        <is>
          <t>cau</t>
        </is>
      </c>
      <c r="R1005" t="inlineStr">
        <is>
          <t xml:space="preserve">BV </t>
        </is>
      </c>
      <c r="S1005" t="n">
        <v>4</v>
      </c>
      <c r="T1005" t="n">
        <v>4</v>
      </c>
      <c r="U1005" t="inlineStr">
        <is>
          <t>2004-09-30</t>
        </is>
      </c>
      <c r="V1005" t="inlineStr">
        <is>
          <t>2004-09-30</t>
        </is>
      </c>
      <c r="W1005" t="inlineStr">
        <is>
          <t>1992-01-10</t>
        </is>
      </c>
      <c r="X1005" t="inlineStr">
        <is>
          <t>1992-01-10</t>
        </is>
      </c>
      <c r="Y1005" t="n">
        <v>261</v>
      </c>
      <c r="Z1005" t="n">
        <v>216</v>
      </c>
      <c r="AA1005" t="n">
        <v>228</v>
      </c>
      <c r="AB1005" t="n">
        <v>3</v>
      </c>
      <c r="AC1005" t="n">
        <v>3</v>
      </c>
      <c r="AD1005" t="n">
        <v>27</v>
      </c>
      <c r="AE1005" t="n">
        <v>27</v>
      </c>
      <c r="AF1005" t="n">
        <v>10</v>
      </c>
      <c r="AG1005" t="n">
        <v>10</v>
      </c>
      <c r="AH1005" t="n">
        <v>6</v>
      </c>
      <c r="AI1005" t="n">
        <v>6</v>
      </c>
      <c r="AJ1005" t="n">
        <v>19</v>
      </c>
      <c r="AK1005" t="n">
        <v>19</v>
      </c>
      <c r="AL1005" t="n">
        <v>1</v>
      </c>
      <c r="AM1005" t="n">
        <v>1</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HYPERLINK("https://creighton-primo.hosted.exlibrisgroup.com/primo-explore/search?tab=default_tab&amp;search_scope=EVERYTHING&amp;vid=01CRU&amp;lang=en_US&amp;offset=0&amp;query=any,contains,991000865859702656","Catalog Record")</f>
        <v/>
      </c>
      <c r="AT1005">
        <f>HYPERLINK("http://www.worldcat.org/oclc/15195665","WorldCat Record")</f>
        <v/>
      </c>
      <c r="AU1005" t="inlineStr">
        <is>
          <t>5090406418:eng</t>
        </is>
      </c>
      <c r="AV1005" t="inlineStr">
        <is>
          <t>15195665</t>
        </is>
      </c>
      <c r="AW1005" t="inlineStr">
        <is>
          <t>991000865859702656</t>
        </is>
      </c>
      <c r="AX1005" t="inlineStr">
        <is>
          <t>991000865859702656</t>
        </is>
      </c>
      <c r="AY1005" t="inlineStr">
        <is>
          <t>2272696960002656</t>
        </is>
      </c>
      <c r="AZ1005" t="inlineStr">
        <is>
          <t>BOOK</t>
        </is>
      </c>
      <c r="BB1005" t="inlineStr">
        <is>
          <t>9780898700862</t>
        </is>
      </c>
      <c r="BC1005" t="inlineStr">
        <is>
          <t>32285000903400</t>
        </is>
      </c>
      <c r="BD1005" t="inlineStr">
        <is>
          <t>893865757</t>
        </is>
      </c>
    </row>
    <row r="1006">
      <c r="A1006" t="inlineStr">
        <is>
          <t>No</t>
        </is>
      </c>
      <c r="B1006" t="inlineStr">
        <is>
          <t>BV625 .B45</t>
        </is>
      </c>
      <c r="C1006" t="inlineStr">
        <is>
          <t>0                      BV 0625000B  45</t>
        </is>
      </c>
      <c r="D1006" t="inlineStr">
        <is>
          <t>Consequences : truth and ... / by Daniel Berrigan.</t>
        </is>
      </c>
      <c r="F1006" t="inlineStr">
        <is>
          <t>No</t>
        </is>
      </c>
      <c r="G1006" t="inlineStr">
        <is>
          <t>1</t>
        </is>
      </c>
      <c r="H1006" t="inlineStr">
        <is>
          <t>No</t>
        </is>
      </c>
      <c r="I1006" t="inlineStr">
        <is>
          <t>No</t>
        </is>
      </c>
      <c r="J1006" t="inlineStr">
        <is>
          <t>0</t>
        </is>
      </c>
      <c r="K1006" t="inlineStr">
        <is>
          <t>Berrigan, Daniel.</t>
        </is>
      </c>
      <c r="L1006" t="inlineStr">
        <is>
          <t>New York, Macmillan [1967]</t>
        </is>
      </c>
      <c r="M1006" t="inlineStr">
        <is>
          <t>1967</t>
        </is>
      </c>
      <c r="O1006" t="inlineStr">
        <is>
          <t>eng</t>
        </is>
      </c>
      <c r="P1006" t="inlineStr">
        <is>
          <t>nyu</t>
        </is>
      </c>
      <c r="R1006" t="inlineStr">
        <is>
          <t xml:space="preserve">BV </t>
        </is>
      </c>
      <c r="S1006" t="n">
        <v>3</v>
      </c>
      <c r="T1006" t="n">
        <v>3</v>
      </c>
      <c r="U1006" t="inlineStr">
        <is>
          <t>2010-01-17</t>
        </is>
      </c>
      <c r="V1006" t="inlineStr">
        <is>
          <t>2010-01-17</t>
        </is>
      </c>
      <c r="W1006" t="inlineStr">
        <is>
          <t>1992-01-10</t>
        </is>
      </c>
      <c r="X1006" t="inlineStr">
        <is>
          <t>1992-01-10</t>
        </is>
      </c>
      <c r="Y1006" t="n">
        <v>508</v>
      </c>
      <c r="Z1006" t="n">
        <v>465</v>
      </c>
      <c r="AA1006" t="n">
        <v>487</v>
      </c>
      <c r="AB1006" t="n">
        <v>1</v>
      </c>
      <c r="AC1006" t="n">
        <v>1</v>
      </c>
      <c r="AD1006" t="n">
        <v>34</v>
      </c>
      <c r="AE1006" t="n">
        <v>34</v>
      </c>
      <c r="AF1006" t="n">
        <v>12</v>
      </c>
      <c r="AG1006" t="n">
        <v>12</v>
      </c>
      <c r="AH1006" t="n">
        <v>9</v>
      </c>
      <c r="AI1006" t="n">
        <v>9</v>
      </c>
      <c r="AJ1006" t="n">
        <v>24</v>
      </c>
      <c r="AK1006" t="n">
        <v>24</v>
      </c>
      <c r="AL1006" t="n">
        <v>0</v>
      </c>
      <c r="AM1006" t="n">
        <v>0</v>
      </c>
      <c r="AN1006" t="n">
        <v>0</v>
      </c>
      <c r="AO1006" t="n">
        <v>0</v>
      </c>
      <c r="AP1006" t="inlineStr">
        <is>
          <t>No</t>
        </is>
      </c>
      <c r="AQ1006" t="inlineStr">
        <is>
          <t>Yes</t>
        </is>
      </c>
      <c r="AR1006">
        <f>HYPERLINK("http://catalog.hathitrust.org/Record/001413293","HathiTrust Record")</f>
        <v/>
      </c>
      <c r="AS1006">
        <f>HYPERLINK("https://creighton-primo.hosted.exlibrisgroup.com/primo-explore/search?tab=default_tab&amp;search_scope=EVERYTHING&amp;vid=01CRU&amp;lang=en_US&amp;offset=0&amp;query=any,contains,991002644579702656","Catalog Record")</f>
        <v/>
      </c>
      <c r="AT1006">
        <f>HYPERLINK("http://www.worldcat.org/oclc/385427","WorldCat Record")</f>
        <v/>
      </c>
      <c r="AU1006" t="inlineStr">
        <is>
          <t>1507423:eng</t>
        </is>
      </c>
      <c r="AV1006" t="inlineStr">
        <is>
          <t>385427</t>
        </is>
      </c>
      <c r="AW1006" t="inlineStr">
        <is>
          <t>991002644579702656</t>
        </is>
      </c>
      <c r="AX1006" t="inlineStr">
        <is>
          <t>991002644579702656</t>
        </is>
      </c>
      <c r="AY1006" t="inlineStr">
        <is>
          <t>2258924830002656</t>
        </is>
      </c>
      <c r="AZ1006" t="inlineStr">
        <is>
          <t>BOOK</t>
        </is>
      </c>
      <c r="BC1006" t="inlineStr">
        <is>
          <t>32285000903418</t>
        </is>
      </c>
      <c r="BD1006" t="inlineStr">
        <is>
          <t>893415452</t>
        </is>
      </c>
    </row>
    <row r="1007">
      <c r="A1007" t="inlineStr">
        <is>
          <t>No</t>
        </is>
      </c>
      <c r="B1007" t="inlineStr">
        <is>
          <t>BV625 .C48 1994</t>
        </is>
      </c>
      <c r="C1007" t="inlineStr">
        <is>
          <t>0                      BV 0625000C  48          1994</t>
        </is>
      </c>
      <c r="D1007" t="inlineStr">
        <is>
          <t>The Churches and inter-community relationships / by Duncan Morrow ... [et al.].</t>
        </is>
      </c>
      <c r="F1007" t="inlineStr">
        <is>
          <t>No</t>
        </is>
      </c>
      <c r="G1007" t="inlineStr">
        <is>
          <t>1</t>
        </is>
      </c>
      <c r="H1007" t="inlineStr">
        <is>
          <t>No</t>
        </is>
      </c>
      <c r="I1007" t="inlineStr">
        <is>
          <t>No</t>
        </is>
      </c>
      <c r="J1007" t="inlineStr">
        <is>
          <t>0</t>
        </is>
      </c>
      <c r="L1007" t="inlineStr">
        <is>
          <t>Coleraine : Centre for the Study of Conflict, University of Ulster, 1994.</t>
        </is>
      </c>
      <c r="M1007" t="inlineStr">
        <is>
          <t>1994</t>
        </is>
      </c>
      <c r="O1007" t="inlineStr">
        <is>
          <t>eng</t>
        </is>
      </c>
      <c r="P1007" t="inlineStr">
        <is>
          <t>nik</t>
        </is>
      </c>
      <c r="R1007" t="inlineStr">
        <is>
          <t xml:space="preserve">BV </t>
        </is>
      </c>
      <c r="S1007" t="n">
        <v>6</v>
      </c>
      <c r="T1007" t="n">
        <v>6</v>
      </c>
      <c r="U1007" t="inlineStr">
        <is>
          <t>1999-12-03</t>
        </is>
      </c>
      <c r="V1007" t="inlineStr">
        <is>
          <t>1999-12-03</t>
        </is>
      </c>
      <c r="W1007" t="inlineStr">
        <is>
          <t>1996-04-15</t>
        </is>
      </c>
      <c r="X1007" t="inlineStr">
        <is>
          <t>1996-04-15</t>
        </is>
      </c>
      <c r="Y1007" t="n">
        <v>21</v>
      </c>
      <c r="Z1007" t="n">
        <v>7</v>
      </c>
      <c r="AA1007" t="n">
        <v>27</v>
      </c>
      <c r="AB1007" t="n">
        <v>1</v>
      </c>
      <c r="AC1007" t="n">
        <v>1</v>
      </c>
      <c r="AD1007" t="n">
        <v>1</v>
      </c>
      <c r="AE1007" t="n">
        <v>4</v>
      </c>
      <c r="AF1007" t="n">
        <v>0</v>
      </c>
      <c r="AG1007" t="n">
        <v>0</v>
      </c>
      <c r="AH1007" t="n">
        <v>1</v>
      </c>
      <c r="AI1007" t="n">
        <v>3</v>
      </c>
      <c r="AJ1007" t="n">
        <v>1</v>
      </c>
      <c r="AK1007" t="n">
        <v>3</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HYPERLINK("https://creighton-primo.hosted.exlibrisgroup.com/primo-explore/search?tab=default_tab&amp;search_scope=EVERYTHING&amp;vid=01CRU&amp;lang=en_US&amp;offset=0&amp;query=any,contains,991002412689702656","Catalog Record")</f>
        <v/>
      </c>
      <c r="AT1007">
        <f>HYPERLINK("http://www.worldcat.org/oclc/31409362","WorldCat Record")</f>
        <v/>
      </c>
      <c r="AU1007" t="inlineStr">
        <is>
          <t>34336882:eng</t>
        </is>
      </c>
      <c r="AV1007" t="inlineStr">
        <is>
          <t>31409362</t>
        </is>
      </c>
      <c r="AW1007" t="inlineStr">
        <is>
          <t>991002412689702656</t>
        </is>
      </c>
      <c r="AX1007" t="inlineStr">
        <is>
          <t>991002412689702656</t>
        </is>
      </c>
      <c r="AY1007" t="inlineStr">
        <is>
          <t>2270527930002656</t>
        </is>
      </c>
      <c r="AZ1007" t="inlineStr">
        <is>
          <t>BOOK</t>
        </is>
      </c>
      <c r="BB1007" t="inlineStr">
        <is>
          <t>9781859230855</t>
        </is>
      </c>
      <c r="BC1007" t="inlineStr">
        <is>
          <t>32285002152741</t>
        </is>
      </c>
      <c r="BD1007" t="inlineStr">
        <is>
          <t>893773597</t>
        </is>
      </c>
    </row>
    <row r="1008">
      <c r="A1008" t="inlineStr">
        <is>
          <t>No</t>
        </is>
      </c>
      <c r="B1008" t="inlineStr">
        <is>
          <t>BV629 .W62213 1995</t>
        </is>
      </c>
      <c r="C1008" t="inlineStr">
        <is>
          <t>0                      BV 0629000W  62213       1995</t>
        </is>
      </c>
      <c r="D1008" t="inlineStr">
        <is>
          <t>A letter to the Friars Minor, and other writings / William of Ockham ; edited by Arthur Stephen McGrade and John Kilcullen ; translated by John Kilcullen.</t>
        </is>
      </c>
      <c r="F1008" t="inlineStr">
        <is>
          <t>No</t>
        </is>
      </c>
      <c r="G1008" t="inlineStr">
        <is>
          <t>1</t>
        </is>
      </c>
      <c r="H1008" t="inlineStr">
        <is>
          <t>No</t>
        </is>
      </c>
      <c r="I1008" t="inlineStr">
        <is>
          <t>No</t>
        </is>
      </c>
      <c r="J1008" t="inlineStr">
        <is>
          <t>0</t>
        </is>
      </c>
      <c r="K1008" t="inlineStr">
        <is>
          <t>William, of Ockham, approximately 1285-approximately 1349.</t>
        </is>
      </c>
      <c r="L1008" t="inlineStr">
        <is>
          <t>Cambridge [England] ; New York, NY, USA : Cambridge University Press, 1995.</t>
        </is>
      </c>
      <c r="M1008" t="inlineStr">
        <is>
          <t>1995</t>
        </is>
      </c>
      <c r="O1008" t="inlineStr">
        <is>
          <t>eng</t>
        </is>
      </c>
      <c r="P1008" t="inlineStr">
        <is>
          <t>enk</t>
        </is>
      </c>
      <c r="Q1008" t="inlineStr">
        <is>
          <t>Cambridge texts in the history of political thought</t>
        </is>
      </c>
      <c r="R1008" t="inlineStr">
        <is>
          <t xml:space="preserve">BV </t>
        </is>
      </c>
      <c r="S1008" t="n">
        <v>3</v>
      </c>
      <c r="T1008" t="n">
        <v>3</v>
      </c>
      <c r="U1008" t="inlineStr">
        <is>
          <t>1998-04-15</t>
        </is>
      </c>
      <c r="V1008" t="inlineStr">
        <is>
          <t>1998-04-15</t>
        </is>
      </c>
      <c r="W1008" t="inlineStr">
        <is>
          <t>1998-03-31</t>
        </is>
      </c>
      <c r="X1008" t="inlineStr">
        <is>
          <t>1998-03-31</t>
        </is>
      </c>
      <c r="Y1008" t="n">
        <v>441</v>
      </c>
      <c r="Z1008" t="n">
        <v>337</v>
      </c>
      <c r="AA1008" t="n">
        <v>339</v>
      </c>
      <c r="AB1008" t="n">
        <v>3</v>
      </c>
      <c r="AC1008" t="n">
        <v>3</v>
      </c>
      <c r="AD1008" t="n">
        <v>31</v>
      </c>
      <c r="AE1008" t="n">
        <v>31</v>
      </c>
      <c r="AF1008" t="n">
        <v>9</v>
      </c>
      <c r="AG1008" t="n">
        <v>9</v>
      </c>
      <c r="AH1008" t="n">
        <v>9</v>
      </c>
      <c r="AI1008" t="n">
        <v>9</v>
      </c>
      <c r="AJ1008" t="n">
        <v>20</v>
      </c>
      <c r="AK1008" t="n">
        <v>20</v>
      </c>
      <c r="AL1008" t="n">
        <v>2</v>
      </c>
      <c r="AM1008" t="n">
        <v>2</v>
      </c>
      <c r="AN1008" t="n">
        <v>1</v>
      </c>
      <c r="AO1008" t="n">
        <v>1</v>
      </c>
      <c r="AP1008" t="inlineStr">
        <is>
          <t>No</t>
        </is>
      </c>
      <c r="AQ1008" t="inlineStr">
        <is>
          <t>No</t>
        </is>
      </c>
      <c r="AS1008">
        <f>HYPERLINK("https://creighton-primo.hosted.exlibrisgroup.com/primo-explore/search?tab=default_tab&amp;search_scope=EVERYTHING&amp;vid=01CRU&amp;lang=en_US&amp;offset=0&amp;query=any,contains,991002426269702656","Catalog Record")</f>
        <v/>
      </c>
      <c r="AT1008">
        <f>HYPERLINK("http://www.worldcat.org/oclc/31608245","WorldCat Record")</f>
        <v/>
      </c>
      <c r="AU1008" t="inlineStr">
        <is>
          <t>353971188:eng</t>
        </is>
      </c>
      <c r="AV1008" t="inlineStr">
        <is>
          <t>31608245</t>
        </is>
      </c>
      <c r="AW1008" t="inlineStr">
        <is>
          <t>991002426269702656</t>
        </is>
      </c>
      <c r="AX1008" t="inlineStr">
        <is>
          <t>991002426269702656</t>
        </is>
      </c>
      <c r="AY1008" t="inlineStr">
        <is>
          <t>2264395350002656</t>
        </is>
      </c>
      <c r="AZ1008" t="inlineStr">
        <is>
          <t>BOOK</t>
        </is>
      </c>
      <c r="BB1008" t="inlineStr">
        <is>
          <t>9780521352437</t>
        </is>
      </c>
      <c r="BC1008" t="inlineStr">
        <is>
          <t>32285003382040</t>
        </is>
      </c>
      <c r="BD1008" t="inlineStr">
        <is>
          <t>893603590</t>
        </is>
      </c>
    </row>
    <row r="1009">
      <c r="A1009" t="inlineStr">
        <is>
          <t>No</t>
        </is>
      </c>
      <c r="B1009" t="inlineStr">
        <is>
          <t>BV630 .E4 1957</t>
        </is>
      </c>
      <c r="C1009" t="inlineStr">
        <is>
          <t>0                      BV 0630000E  4           1957</t>
        </is>
      </c>
      <c r="D1009" t="inlineStr">
        <is>
          <t>Twenty centuries of church and state : a survey of their relations in past and present / by Sidney Z. Ehler.</t>
        </is>
      </c>
      <c r="F1009" t="inlineStr">
        <is>
          <t>No</t>
        </is>
      </c>
      <c r="G1009" t="inlineStr">
        <is>
          <t>1</t>
        </is>
      </c>
      <c r="H1009" t="inlineStr">
        <is>
          <t>No</t>
        </is>
      </c>
      <c r="I1009" t="inlineStr">
        <is>
          <t>No</t>
        </is>
      </c>
      <c r="J1009" t="inlineStr">
        <is>
          <t>0</t>
        </is>
      </c>
      <c r="K1009" t="inlineStr">
        <is>
          <t>Ehler, Sidney Z.</t>
        </is>
      </c>
      <c r="L1009" t="inlineStr">
        <is>
          <t>Westminster, Md. : Newman Press, c1957.</t>
        </is>
      </c>
      <c r="M1009" t="inlineStr">
        <is>
          <t>1957</t>
        </is>
      </c>
      <c r="O1009" t="inlineStr">
        <is>
          <t>eng</t>
        </is>
      </c>
      <c r="P1009" t="inlineStr">
        <is>
          <t>mdu</t>
        </is>
      </c>
      <c r="Q1009" t="inlineStr">
        <is>
          <t>A Newman paperback</t>
        </is>
      </c>
      <c r="R1009" t="inlineStr">
        <is>
          <t xml:space="preserve">BV </t>
        </is>
      </c>
      <c r="S1009" t="n">
        <v>7</v>
      </c>
      <c r="T1009" t="n">
        <v>7</v>
      </c>
      <c r="U1009" t="inlineStr">
        <is>
          <t>2005-04-27</t>
        </is>
      </c>
      <c r="V1009" t="inlineStr">
        <is>
          <t>2005-04-27</t>
        </is>
      </c>
      <c r="W1009" t="inlineStr">
        <is>
          <t>1992-01-10</t>
        </is>
      </c>
      <c r="X1009" t="inlineStr">
        <is>
          <t>1992-01-10</t>
        </is>
      </c>
      <c r="Y1009" t="n">
        <v>175</v>
      </c>
      <c r="Z1009" t="n">
        <v>154</v>
      </c>
      <c r="AA1009" t="n">
        <v>326</v>
      </c>
      <c r="AB1009" t="n">
        <v>2</v>
      </c>
      <c r="AC1009" t="n">
        <v>4</v>
      </c>
      <c r="AD1009" t="n">
        <v>21</v>
      </c>
      <c r="AE1009" t="n">
        <v>31</v>
      </c>
      <c r="AF1009" t="n">
        <v>8</v>
      </c>
      <c r="AG1009" t="n">
        <v>10</v>
      </c>
      <c r="AH1009" t="n">
        <v>5</v>
      </c>
      <c r="AI1009" t="n">
        <v>6</v>
      </c>
      <c r="AJ1009" t="n">
        <v>14</v>
      </c>
      <c r="AK1009" t="n">
        <v>14</v>
      </c>
      <c r="AL1009" t="n">
        <v>0</v>
      </c>
      <c r="AM1009" t="n">
        <v>1</v>
      </c>
      <c r="AN1009" t="n">
        <v>1</v>
      </c>
      <c r="AO1009" t="n">
        <v>8</v>
      </c>
      <c r="AP1009" t="inlineStr">
        <is>
          <t>Yes</t>
        </is>
      </c>
      <c r="AQ1009" t="inlineStr">
        <is>
          <t>No</t>
        </is>
      </c>
      <c r="AR1009">
        <f>HYPERLINK("http://catalog.hathitrust.org/Record/003780545","HathiTrust Record")</f>
        <v/>
      </c>
      <c r="AS1009">
        <f>HYPERLINK("https://creighton-primo.hosted.exlibrisgroup.com/primo-explore/search?tab=default_tab&amp;search_scope=EVERYTHING&amp;vid=01CRU&amp;lang=en_US&amp;offset=0&amp;query=any,contains,991002286389702656","Catalog Record")</f>
        <v/>
      </c>
      <c r="AT1009">
        <f>HYPERLINK("http://www.worldcat.org/oclc/311614","WorldCat Record")</f>
        <v/>
      </c>
      <c r="AU1009" t="inlineStr">
        <is>
          <t>204508667:eng</t>
        </is>
      </c>
      <c r="AV1009" t="inlineStr">
        <is>
          <t>311614</t>
        </is>
      </c>
      <c r="AW1009" t="inlineStr">
        <is>
          <t>991002286389702656</t>
        </is>
      </c>
      <c r="AX1009" t="inlineStr">
        <is>
          <t>991002286389702656</t>
        </is>
      </c>
      <c r="AY1009" t="inlineStr">
        <is>
          <t>2272596510002656</t>
        </is>
      </c>
      <c r="AZ1009" t="inlineStr">
        <is>
          <t>BOOK</t>
        </is>
      </c>
      <c r="BC1009" t="inlineStr">
        <is>
          <t>32285000903475</t>
        </is>
      </c>
      <c r="BD1009" t="inlineStr">
        <is>
          <t>893226662</t>
        </is>
      </c>
    </row>
    <row r="1010">
      <c r="A1010" t="inlineStr">
        <is>
          <t>No</t>
        </is>
      </c>
      <c r="B1010" t="inlineStr">
        <is>
          <t>BV630 .L373 1956</t>
        </is>
      </c>
      <c r="C1010" t="inlineStr">
        <is>
          <t>0                      BV 0630000L  373         1956</t>
        </is>
      </c>
      <c r="D1010" t="inlineStr">
        <is>
          <t>La naissance de l'esprit laïque : au déclin du moyen âge.</t>
        </is>
      </c>
      <c r="E1010" t="inlineStr">
        <is>
          <t>V.4</t>
        </is>
      </c>
      <c r="F1010" t="inlineStr">
        <is>
          <t>Yes</t>
        </is>
      </c>
      <c r="G1010" t="inlineStr">
        <is>
          <t>1</t>
        </is>
      </c>
      <c r="H1010" t="inlineStr">
        <is>
          <t>No</t>
        </is>
      </c>
      <c r="I1010" t="inlineStr">
        <is>
          <t>No</t>
        </is>
      </c>
      <c r="J1010" t="inlineStr">
        <is>
          <t>0</t>
        </is>
      </c>
      <c r="K1010" t="inlineStr">
        <is>
          <t>Lagarde, Georges de.</t>
        </is>
      </c>
      <c r="L1010" t="inlineStr">
        <is>
          <t>Louvain : E. Nauwelaerts, 1956-1970.</t>
        </is>
      </c>
      <c r="M1010" t="inlineStr">
        <is>
          <t>1956</t>
        </is>
      </c>
      <c r="N1010" t="inlineStr">
        <is>
          <t>3. éd.</t>
        </is>
      </c>
      <c r="O1010" t="inlineStr">
        <is>
          <t>fre</t>
        </is>
      </c>
      <c r="P1010" t="inlineStr">
        <is>
          <t xml:space="preserve">be </t>
        </is>
      </c>
      <c r="R1010" t="inlineStr">
        <is>
          <t xml:space="preserve">BV </t>
        </is>
      </c>
      <c r="S1010" t="n">
        <v>0</v>
      </c>
      <c r="T1010" t="n">
        <v>1</v>
      </c>
      <c r="V1010" t="inlineStr">
        <is>
          <t>1992-04-13</t>
        </is>
      </c>
      <c r="W1010" t="inlineStr">
        <is>
          <t>1992-01-10</t>
        </is>
      </c>
      <c r="X1010" t="inlineStr">
        <is>
          <t>1992-01-10</t>
        </is>
      </c>
      <c r="Y1010" t="n">
        <v>295</v>
      </c>
      <c r="Z1010" t="n">
        <v>218</v>
      </c>
      <c r="AA1010" t="n">
        <v>269</v>
      </c>
      <c r="AB1010" t="n">
        <v>2</v>
      </c>
      <c r="AC1010" t="n">
        <v>2</v>
      </c>
      <c r="AD1010" t="n">
        <v>20</v>
      </c>
      <c r="AE1010" t="n">
        <v>24</v>
      </c>
      <c r="AF1010" t="n">
        <v>4</v>
      </c>
      <c r="AG1010" t="n">
        <v>4</v>
      </c>
      <c r="AH1010" t="n">
        <v>6</v>
      </c>
      <c r="AI1010" t="n">
        <v>9</v>
      </c>
      <c r="AJ1010" t="n">
        <v>15</v>
      </c>
      <c r="AK1010" t="n">
        <v>17</v>
      </c>
      <c r="AL1010" t="n">
        <v>1</v>
      </c>
      <c r="AM1010" t="n">
        <v>1</v>
      </c>
      <c r="AN1010" t="n">
        <v>0</v>
      </c>
      <c r="AO1010" t="n">
        <v>0</v>
      </c>
      <c r="AP1010" t="inlineStr">
        <is>
          <t>No</t>
        </is>
      </c>
      <c r="AQ1010" t="inlineStr">
        <is>
          <t>Yes</t>
        </is>
      </c>
      <c r="AR1010">
        <f>HYPERLINK("http://catalog.hathitrust.org/Record/000119562","HathiTrust Record")</f>
        <v/>
      </c>
      <c r="AS1010">
        <f>HYPERLINK("https://creighton-primo.hosted.exlibrisgroup.com/primo-explore/search?tab=default_tab&amp;search_scope=EVERYTHING&amp;vid=01CRU&amp;lang=en_US&amp;offset=0&amp;query=any,contains,991003996149702656","Catalog Record")</f>
        <v/>
      </c>
      <c r="AT1010">
        <f>HYPERLINK("http://www.worldcat.org/oclc/2061648","WorldCat Record")</f>
        <v/>
      </c>
      <c r="AU1010" t="inlineStr">
        <is>
          <t>350556237:fre</t>
        </is>
      </c>
      <c r="AV1010" t="inlineStr">
        <is>
          <t>2061648</t>
        </is>
      </c>
      <c r="AW1010" t="inlineStr">
        <is>
          <t>991003996149702656</t>
        </is>
      </c>
      <c r="AX1010" t="inlineStr">
        <is>
          <t>991003996149702656</t>
        </is>
      </c>
      <c r="AY1010" t="inlineStr">
        <is>
          <t>2261359530002656</t>
        </is>
      </c>
      <c r="AZ1010" t="inlineStr">
        <is>
          <t>BOOK</t>
        </is>
      </c>
      <c r="BC1010" t="inlineStr">
        <is>
          <t>32285000903525</t>
        </is>
      </c>
      <c r="BD1010" t="inlineStr">
        <is>
          <t>893624215</t>
        </is>
      </c>
    </row>
    <row r="1011">
      <c r="A1011" t="inlineStr">
        <is>
          <t>No</t>
        </is>
      </c>
      <c r="B1011" t="inlineStr">
        <is>
          <t>BV630 .L373 1956</t>
        </is>
      </c>
      <c r="C1011" t="inlineStr">
        <is>
          <t>0                      BV 0630000L  373         1956</t>
        </is>
      </c>
      <c r="D1011" t="inlineStr">
        <is>
          <t>La naissance de l'esprit laïque : au déclin du moyen âge.</t>
        </is>
      </c>
      <c r="E1011" t="inlineStr">
        <is>
          <t>V.1</t>
        </is>
      </c>
      <c r="F1011" t="inlineStr">
        <is>
          <t>Yes</t>
        </is>
      </c>
      <c r="G1011" t="inlineStr">
        <is>
          <t>1</t>
        </is>
      </c>
      <c r="H1011" t="inlineStr">
        <is>
          <t>No</t>
        </is>
      </c>
      <c r="I1011" t="inlineStr">
        <is>
          <t>No</t>
        </is>
      </c>
      <c r="J1011" t="inlineStr">
        <is>
          <t>0</t>
        </is>
      </c>
      <c r="K1011" t="inlineStr">
        <is>
          <t>Lagarde, Georges de.</t>
        </is>
      </c>
      <c r="L1011" t="inlineStr">
        <is>
          <t>Louvain : E. Nauwelaerts, 1956-1970.</t>
        </is>
      </c>
      <c r="M1011" t="inlineStr">
        <is>
          <t>1956</t>
        </is>
      </c>
      <c r="N1011" t="inlineStr">
        <is>
          <t>3. éd.</t>
        </is>
      </c>
      <c r="O1011" t="inlineStr">
        <is>
          <t>fre</t>
        </is>
      </c>
      <c r="P1011" t="inlineStr">
        <is>
          <t xml:space="preserve">be </t>
        </is>
      </c>
      <c r="R1011" t="inlineStr">
        <is>
          <t xml:space="preserve">BV </t>
        </is>
      </c>
      <c r="S1011" t="n">
        <v>0</v>
      </c>
      <c r="T1011" t="n">
        <v>1</v>
      </c>
      <c r="V1011" t="inlineStr">
        <is>
          <t>1992-04-13</t>
        </is>
      </c>
      <c r="W1011" t="inlineStr">
        <is>
          <t>1992-01-10</t>
        </is>
      </c>
      <c r="X1011" t="inlineStr">
        <is>
          <t>1992-01-10</t>
        </is>
      </c>
      <c r="Y1011" t="n">
        <v>295</v>
      </c>
      <c r="Z1011" t="n">
        <v>218</v>
      </c>
      <c r="AA1011" t="n">
        <v>269</v>
      </c>
      <c r="AB1011" t="n">
        <v>2</v>
      </c>
      <c r="AC1011" t="n">
        <v>2</v>
      </c>
      <c r="AD1011" t="n">
        <v>20</v>
      </c>
      <c r="AE1011" t="n">
        <v>24</v>
      </c>
      <c r="AF1011" t="n">
        <v>4</v>
      </c>
      <c r="AG1011" t="n">
        <v>4</v>
      </c>
      <c r="AH1011" t="n">
        <v>6</v>
      </c>
      <c r="AI1011" t="n">
        <v>9</v>
      </c>
      <c r="AJ1011" t="n">
        <v>15</v>
      </c>
      <c r="AK1011" t="n">
        <v>17</v>
      </c>
      <c r="AL1011" t="n">
        <v>1</v>
      </c>
      <c r="AM1011" t="n">
        <v>1</v>
      </c>
      <c r="AN1011" t="n">
        <v>0</v>
      </c>
      <c r="AO1011" t="n">
        <v>0</v>
      </c>
      <c r="AP1011" t="inlineStr">
        <is>
          <t>No</t>
        </is>
      </c>
      <c r="AQ1011" t="inlineStr">
        <is>
          <t>Yes</t>
        </is>
      </c>
      <c r="AR1011">
        <f>HYPERLINK("http://catalog.hathitrust.org/Record/000119562","HathiTrust Record")</f>
        <v/>
      </c>
      <c r="AS1011">
        <f>HYPERLINK("https://creighton-primo.hosted.exlibrisgroup.com/primo-explore/search?tab=default_tab&amp;search_scope=EVERYTHING&amp;vid=01CRU&amp;lang=en_US&amp;offset=0&amp;query=any,contains,991003996149702656","Catalog Record")</f>
        <v/>
      </c>
      <c r="AT1011">
        <f>HYPERLINK("http://www.worldcat.org/oclc/2061648","WorldCat Record")</f>
        <v/>
      </c>
      <c r="AU1011" t="inlineStr">
        <is>
          <t>350556237:fre</t>
        </is>
      </c>
      <c r="AV1011" t="inlineStr">
        <is>
          <t>2061648</t>
        </is>
      </c>
      <c r="AW1011" t="inlineStr">
        <is>
          <t>991003996149702656</t>
        </is>
      </c>
      <c r="AX1011" t="inlineStr">
        <is>
          <t>991003996149702656</t>
        </is>
      </c>
      <c r="AY1011" t="inlineStr">
        <is>
          <t>2261359530002656</t>
        </is>
      </c>
      <c r="AZ1011" t="inlineStr">
        <is>
          <t>BOOK</t>
        </is>
      </c>
      <c r="BC1011" t="inlineStr">
        <is>
          <t>32285000903509</t>
        </is>
      </c>
      <c r="BD1011" t="inlineStr">
        <is>
          <t>893593140</t>
        </is>
      </c>
    </row>
    <row r="1012">
      <c r="A1012" t="inlineStr">
        <is>
          <t>No</t>
        </is>
      </c>
      <c r="B1012" t="inlineStr">
        <is>
          <t>BV630 .L373 1956</t>
        </is>
      </c>
      <c r="C1012" t="inlineStr">
        <is>
          <t>0                      BV 0630000L  373         1956</t>
        </is>
      </c>
      <c r="D1012" t="inlineStr">
        <is>
          <t>La naissance de l'esprit laïque : au déclin du moyen âge.</t>
        </is>
      </c>
      <c r="E1012" t="inlineStr">
        <is>
          <t>V.3</t>
        </is>
      </c>
      <c r="F1012" t="inlineStr">
        <is>
          <t>Yes</t>
        </is>
      </c>
      <c r="G1012" t="inlineStr">
        <is>
          <t>1</t>
        </is>
      </c>
      <c r="H1012" t="inlineStr">
        <is>
          <t>No</t>
        </is>
      </c>
      <c r="I1012" t="inlineStr">
        <is>
          <t>No</t>
        </is>
      </c>
      <c r="J1012" t="inlineStr">
        <is>
          <t>0</t>
        </is>
      </c>
      <c r="K1012" t="inlineStr">
        <is>
          <t>Lagarde, Georges de.</t>
        </is>
      </c>
      <c r="L1012" t="inlineStr">
        <is>
          <t>Louvain : E. Nauwelaerts, 1956-1970.</t>
        </is>
      </c>
      <c r="M1012" t="inlineStr">
        <is>
          <t>1956</t>
        </is>
      </c>
      <c r="N1012" t="inlineStr">
        <is>
          <t>3. éd.</t>
        </is>
      </c>
      <c r="O1012" t="inlineStr">
        <is>
          <t>fre</t>
        </is>
      </c>
      <c r="P1012" t="inlineStr">
        <is>
          <t xml:space="preserve">be </t>
        </is>
      </c>
      <c r="R1012" t="inlineStr">
        <is>
          <t xml:space="preserve">BV </t>
        </is>
      </c>
      <c r="S1012" t="n">
        <v>0</v>
      </c>
      <c r="T1012" t="n">
        <v>1</v>
      </c>
      <c r="V1012" t="inlineStr">
        <is>
          <t>1992-04-13</t>
        </is>
      </c>
      <c r="W1012" t="inlineStr">
        <is>
          <t>1992-01-10</t>
        </is>
      </c>
      <c r="X1012" t="inlineStr">
        <is>
          <t>1992-01-10</t>
        </is>
      </c>
      <c r="Y1012" t="n">
        <v>295</v>
      </c>
      <c r="Z1012" t="n">
        <v>218</v>
      </c>
      <c r="AA1012" t="n">
        <v>269</v>
      </c>
      <c r="AB1012" t="n">
        <v>2</v>
      </c>
      <c r="AC1012" t="n">
        <v>2</v>
      </c>
      <c r="AD1012" t="n">
        <v>20</v>
      </c>
      <c r="AE1012" t="n">
        <v>24</v>
      </c>
      <c r="AF1012" t="n">
        <v>4</v>
      </c>
      <c r="AG1012" t="n">
        <v>4</v>
      </c>
      <c r="AH1012" t="n">
        <v>6</v>
      </c>
      <c r="AI1012" t="n">
        <v>9</v>
      </c>
      <c r="AJ1012" t="n">
        <v>15</v>
      </c>
      <c r="AK1012" t="n">
        <v>17</v>
      </c>
      <c r="AL1012" t="n">
        <v>1</v>
      </c>
      <c r="AM1012" t="n">
        <v>1</v>
      </c>
      <c r="AN1012" t="n">
        <v>0</v>
      </c>
      <c r="AO1012" t="n">
        <v>0</v>
      </c>
      <c r="AP1012" t="inlineStr">
        <is>
          <t>No</t>
        </is>
      </c>
      <c r="AQ1012" t="inlineStr">
        <is>
          <t>Yes</t>
        </is>
      </c>
      <c r="AR1012">
        <f>HYPERLINK("http://catalog.hathitrust.org/Record/000119562","HathiTrust Record")</f>
        <v/>
      </c>
      <c r="AS1012">
        <f>HYPERLINK("https://creighton-primo.hosted.exlibrisgroup.com/primo-explore/search?tab=default_tab&amp;search_scope=EVERYTHING&amp;vid=01CRU&amp;lang=en_US&amp;offset=0&amp;query=any,contains,991003996149702656","Catalog Record")</f>
        <v/>
      </c>
      <c r="AT1012">
        <f>HYPERLINK("http://www.worldcat.org/oclc/2061648","WorldCat Record")</f>
        <v/>
      </c>
      <c r="AU1012" t="inlineStr">
        <is>
          <t>350556237:fre</t>
        </is>
      </c>
      <c r="AV1012" t="inlineStr">
        <is>
          <t>2061648</t>
        </is>
      </c>
      <c r="AW1012" t="inlineStr">
        <is>
          <t>991003996149702656</t>
        </is>
      </c>
      <c r="AX1012" t="inlineStr">
        <is>
          <t>991003996149702656</t>
        </is>
      </c>
      <c r="AY1012" t="inlineStr">
        <is>
          <t>2261359530002656</t>
        </is>
      </c>
      <c r="AZ1012" t="inlineStr">
        <is>
          <t>BOOK</t>
        </is>
      </c>
      <c r="BC1012" t="inlineStr">
        <is>
          <t>32285000903533</t>
        </is>
      </c>
      <c r="BD1012" t="inlineStr">
        <is>
          <t>893605512</t>
        </is>
      </c>
    </row>
    <row r="1013">
      <c r="A1013" t="inlineStr">
        <is>
          <t>No</t>
        </is>
      </c>
      <c r="B1013" t="inlineStr">
        <is>
          <t>BV630 .L373 1956</t>
        </is>
      </c>
      <c r="C1013" t="inlineStr">
        <is>
          <t>0                      BV 0630000L  373         1956</t>
        </is>
      </c>
      <c r="D1013" t="inlineStr">
        <is>
          <t>La naissance de l'esprit laïque : au déclin du moyen âge.</t>
        </is>
      </c>
      <c r="E1013" t="inlineStr">
        <is>
          <t>V.2</t>
        </is>
      </c>
      <c r="F1013" t="inlineStr">
        <is>
          <t>Yes</t>
        </is>
      </c>
      <c r="G1013" t="inlineStr">
        <is>
          <t>1</t>
        </is>
      </c>
      <c r="H1013" t="inlineStr">
        <is>
          <t>No</t>
        </is>
      </c>
      <c r="I1013" t="inlineStr">
        <is>
          <t>No</t>
        </is>
      </c>
      <c r="J1013" t="inlineStr">
        <is>
          <t>0</t>
        </is>
      </c>
      <c r="K1013" t="inlineStr">
        <is>
          <t>Lagarde, Georges de.</t>
        </is>
      </c>
      <c r="L1013" t="inlineStr">
        <is>
          <t>Louvain : E. Nauwelaerts, 1956-1970.</t>
        </is>
      </c>
      <c r="M1013" t="inlineStr">
        <is>
          <t>1956</t>
        </is>
      </c>
      <c r="N1013" t="inlineStr">
        <is>
          <t>3. éd.</t>
        </is>
      </c>
      <c r="O1013" t="inlineStr">
        <is>
          <t>fre</t>
        </is>
      </c>
      <c r="P1013" t="inlineStr">
        <is>
          <t xml:space="preserve">be </t>
        </is>
      </c>
      <c r="R1013" t="inlineStr">
        <is>
          <t xml:space="preserve">BV </t>
        </is>
      </c>
      <c r="S1013" t="n">
        <v>1</v>
      </c>
      <c r="T1013" t="n">
        <v>1</v>
      </c>
      <c r="U1013" t="inlineStr">
        <is>
          <t>1992-04-13</t>
        </is>
      </c>
      <c r="V1013" t="inlineStr">
        <is>
          <t>1992-04-13</t>
        </is>
      </c>
      <c r="W1013" t="inlineStr">
        <is>
          <t>1992-01-10</t>
        </is>
      </c>
      <c r="X1013" t="inlineStr">
        <is>
          <t>1992-01-10</t>
        </is>
      </c>
      <c r="Y1013" t="n">
        <v>295</v>
      </c>
      <c r="Z1013" t="n">
        <v>218</v>
      </c>
      <c r="AA1013" t="n">
        <v>269</v>
      </c>
      <c r="AB1013" t="n">
        <v>2</v>
      </c>
      <c r="AC1013" t="n">
        <v>2</v>
      </c>
      <c r="AD1013" t="n">
        <v>20</v>
      </c>
      <c r="AE1013" t="n">
        <v>24</v>
      </c>
      <c r="AF1013" t="n">
        <v>4</v>
      </c>
      <c r="AG1013" t="n">
        <v>4</v>
      </c>
      <c r="AH1013" t="n">
        <v>6</v>
      </c>
      <c r="AI1013" t="n">
        <v>9</v>
      </c>
      <c r="AJ1013" t="n">
        <v>15</v>
      </c>
      <c r="AK1013" t="n">
        <v>17</v>
      </c>
      <c r="AL1013" t="n">
        <v>1</v>
      </c>
      <c r="AM1013" t="n">
        <v>1</v>
      </c>
      <c r="AN1013" t="n">
        <v>0</v>
      </c>
      <c r="AO1013" t="n">
        <v>0</v>
      </c>
      <c r="AP1013" t="inlineStr">
        <is>
          <t>No</t>
        </is>
      </c>
      <c r="AQ1013" t="inlineStr">
        <is>
          <t>Yes</t>
        </is>
      </c>
      <c r="AR1013">
        <f>HYPERLINK("http://catalog.hathitrust.org/Record/000119562","HathiTrust Record")</f>
        <v/>
      </c>
      <c r="AS1013">
        <f>HYPERLINK("https://creighton-primo.hosted.exlibrisgroup.com/primo-explore/search?tab=default_tab&amp;search_scope=EVERYTHING&amp;vid=01CRU&amp;lang=en_US&amp;offset=0&amp;query=any,contains,991003996149702656","Catalog Record")</f>
        <v/>
      </c>
      <c r="AT1013">
        <f>HYPERLINK("http://www.worldcat.org/oclc/2061648","WorldCat Record")</f>
        <v/>
      </c>
      <c r="AU1013" t="inlineStr">
        <is>
          <t>350556237:fre</t>
        </is>
      </c>
      <c r="AV1013" t="inlineStr">
        <is>
          <t>2061648</t>
        </is>
      </c>
      <c r="AW1013" t="inlineStr">
        <is>
          <t>991003996149702656</t>
        </is>
      </c>
      <c r="AX1013" t="inlineStr">
        <is>
          <t>991003996149702656</t>
        </is>
      </c>
      <c r="AY1013" t="inlineStr">
        <is>
          <t>2261359530002656</t>
        </is>
      </c>
      <c r="AZ1013" t="inlineStr">
        <is>
          <t>BOOK</t>
        </is>
      </c>
      <c r="BC1013" t="inlineStr">
        <is>
          <t>32285000903517</t>
        </is>
      </c>
      <c r="BD1013" t="inlineStr">
        <is>
          <t>893605513</t>
        </is>
      </c>
    </row>
    <row r="1014">
      <c r="A1014" t="inlineStr">
        <is>
          <t>No</t>
        </is>
      </c>
      <c r="B1014" t="inlineStr">
        <is>
          <t>BV630 .R313 1992</t>
        </is>
      </c>
      <c r="C1014" t="inlineStr">
        <is>
          <t>0                      BV 0630000R  313         1992</t>
        </is>
      </c>
      <c r="D1014" t="inlineStr">
        <is>
          <t>Church and state in early Christianity / [edited by] Hugo Rahner ; translated by Leo Donald Davis.</t>
        </is>
      </c>
      <c r="F1014" t="inlineStr">
        <is>
          <t>No</t>
        </is>
      </c>
      <c r="G1014" t="inlineStr">
        <is>
          <t>1</t>
        </is>
      </c>
      <c r="H1014" t="inlineStr">
        <is>
          <t>No</t>
        </is>
      </c>
      <c r="I1014" t="inlineStr">
        <is>
          <t>No</t>
        </is>
      </c>
      <c r="J1014" t="inlineStr">
        <is>
          <t>0</t>
        </is>
      </c>
      <c r="K1014" t="inlineStr">
        <is>
          <t>Rahner, Hugo, 1900-1968.</t>
        </is>
      </c>
      <c r="L1014" t="inlineStr">
        <is>
          <t>San Francisco : Ignatius Press, c1992.</t>
        </is>
      </c>
      <c r="M1014" t="inlineStr">
        <is>
          <t>1992</t>
        </is>
      </c>
      <c r="O1014" t="inlineStr">
        <is>
          <t>eng</t>
        </is>
      </c>
      <c r="P1014" t="inlineStr">
        <is>
          <t>cau</t>
        </is>
      </c>
      <c r="R1014" t="inlineStr">
        <is>
          <t xml:space="preserve">BV </t>
        </is>
      </c>
      <c r="S1014" t="n">
        <v>5</v>
      </c>
      <c r="T1014" t="n">
        <v>5</v>
      </c>
      <c r="U1014" t="inlineStr">
        <is>
          <t>2004-03-15</t>
        </is>
      </c>
      <c r="V1014" t="inlineStr">
        <is>
          <t>2004-03-15</t>
        </is>
      </c>
      <c r="W1014" t="inlineStr">
        <is>
          <t>1992-10-19</t>
        </is>
      </c>
      <c r="X1014" t="inlineStr">
        <is>
          <t>1992-10-19</t>
        </is>
      </c>
      <c r="Y1014" t="n">
        <v>261</v>
      </c>
      <c r="Z1014" t="n">
        <v>219</v>
      </c>
      <c r="AA1014" t="n">
        <v>219</v>
      </c>
      <c r="AB1014" t="n">
        <v>3</v>
      </c>
      <c r="AC1014" t="n">
        <v>3</v>
      </c>
      <c r="AD1014" t="n">
        <v>19</v>
      </c>
      <c r="AE1014" t="n">
        <v>19</v>
      </c>
      <c r="AF1014" t="n">
        <v>6</v>
      </c>
      <c r="AG1014" t="n">
        <v>6</v>
      </c>
      <c r="AH1014" t="n">
        <v>4</v>
      </c>
      <c r="AI1014" t="n">
        <v>4</v>
      </c>
      <c r="AJ1014" t="n">
        <v>13</v>
      </c>
      <c r="AK1014" t="n">
        <v>13</v>
      </c>
      <c r="AL1014" t="n">
        <v>1</v>
      </c>
      <c r="AM1014" t="n">
        <v>1</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HYPERLINK("https://creighton-primo.hosted.exlibrisgroup.com/primo-explore/search?tab=default_tab&amp;search_scope=EVERYTHING&amp;vid=01CRU&amp;lang=en_US&amp;offset=0&amp;query=any,contains,991002043419702656","Catalog Record")</f>
        <v/>
      </c>
      <c r="AT1014">
        <f>HYPERLINK("http://www.worldcat.org/oclc/26082975","WorldCat Record")</f>
        <v/>
      </c>
      <c r="AU1014" t="inlineStr">
        <is>
          <t>1151618576:eng</t>
        </is>
      </c>
      <c r="AV1014" t="inlineStr">
        <is>
          <t>26082975</t>
        </is>
      </c>
      <c r="AW1014" t="inlineStr">
        <is>
          <t>991002043419702656</t>
        </is>
      </c>
      <c r="AX1014" t="inlineStr">
        <is>
          <t>991002043419702656</t>
        </is>
      </c>
      <c r="AY1014" t="inlineStr">
        <is>
          <t>2266931430002656</t>
        </is>
      </c>
      <c r="AZ1014" t="inlineStr">
        <is>
          <t>BOOK</t>
        </is>
      </c>
      <c r="BB1014" t="inlineStr">
        <is>
          <t>9780898703771</t>
        </is>
      </c>
      <c r="BC1014" t="inlineStr">
        <is>
          <t>32285001318673</t>
        </is>
      </c>
      <c r="BD1014" t="inlineStr">
        <is>
          <t>893503956</t>
        </is>
      </c>
    </row>
    <row r="1015">
      <c r="A1015" t="inlineStr">
        <is>
          <t>No</t>
        </is>
      </c>
      <c r="B1015" t="inlineStr">
        <is>
          <t>BV630.2 .B76 1986</t>
        </is>
      </c>
      <c r="C1015" t="inlineStr">
        <is>
          <t>0                      BV 0630200B  76          1986</t>
        </is>
      </c>
      <c r="D1015" t="inlineStr">
        <is>
          <t>Saying yes and saying no : on rendering to God and Caesar / Robert McAfee Brown.</t>
        </is>
      </c>
      <c r="F1015" t="inlineStr">
        <is>
          <t>No</t>
        </is>
      </c>
      <c r="G1015" t="inlineStr">
        <is>
          <t>1</t>
        </is>
      </c>
      <c r="H1015" t="inlineStr">
        <is>
          <t>No</t>
        </is>
      </c>
      <c r="I1015" t="inlineStr">
        <is>
          <t>No</t>
        </is>
      </c>
      <c r="J1015" t="inlineStr">
        <is>
          <t>0</t>
        </is>
      </c>
      <c r="K1015" t="inlineStr">
        <is>
          <t>Brown, Robert McAfee, 1920-2001.</t>
        </is>
      </c>
      <c r="L1015" t="inlineStr">
        <is>
          <t>Philadelphia : Westminster Press, c1986.</t>
        </is>
      </c>
      <c r="M1015" t="inlineStr">
        <is>
          <t>1986</t>
        </is>
      </c>
      <c r="N1015" t="inlineStr">
        <is>
          <t>1st ed.</t>
        </is>
      </c>
      <c r="O1015" t="inlineStr">
        <is>
          <t>eng</t>
        </is>
      </c>
      <c r="P1015" t="inlineStr">
        <is>
          <t>pau</t>
        </is>
      </c>
      <c r="R1015" t="inlineStr">
        <is>
          <t xml:space="preserve">BV </t>
        </is>
      </c>
      <c r="S1015" t="n">
        <v>6</v>
      </c>
      <c r="T1015" t="n">
        <v>6</v>
      </c>
      <c r="U1015" t="inlineStr">
        <is>
          <t>1995-12-27</t>
        </is>
      </c>
      <c r="V1015" t="inlineStr">
        <is>
          <t>1995-12-27</t>
        </is>
      </c>
      <c r="W1015" t="inlineStr">
        <is>
          <t>1993-04-07</t>
        </is>
      </c>
      <c r="X1015" t="inlineStr">
        <is>
          <t>1993-04-07</t>
        </is>
      </c>
      <c r="Y1015" t="n">
        <v>536</v>
      </c>
      <c r="Z1015" t="n">
        <v>478</v>
      </c>
      <c r="AA1015" t="n">
        <v>500</v>
      </c>
      <c r="AB1015" t="n">
        <v>5</v>
      </c>
      <c r="AC1015" t="n">
        <v>5</v>
      </c>
      <c r="AD1015" t="n">
        <v>27</v>
      </c>
      <c r="AE1015" t="n">
        <v>29</v>
      </c>
      <c r="AF1015" t="n">
        <v>9</v>
      </c>
      <c r="AG1015" t="n">
        <v>10</v>
      </c>
      <c r="AH1015" t="n">
        <v>5</v>
      </c>
      <c r="AI1015" t="n">
        <v>6</v>
      </c>
      <c r="AJ1015" t="n">
        <v>18</v>
      </c>
      <c r="AK1015" t="n">
        <v>19</v>
      </c>
      <c r="AL1015" t="n">
        <v>3</v>
      </c>
      <c r="AM1015" t="n">
        <v>3</v>
      </c>
      <c r="AN1015" t="n">
        <v>0</v>
      </c>
      <c r="AO1015" t="n">
        <v>0</v>
      </c>
      <c r="AP1015" t="inlineStr">
        <is>
          <t>No</t>
        </is>
      </c>
      <c r="AQ1015" t="inlineStr">
        <is>
          <t>Yes</t>
        </is>
      </c>
      <c r="AR1015">
        <f>HYPERLINK("http://catalog.hathitrust.org/Record/000484786","HathiTrust Record")</f>
        <v/>
      </c>
      <c r="AS1015">
        <f>HYPERLINK("https://creighton-primo.hosted.exlibrisgroup.com/primo-explore/search?tab=default_tab&amp;search_scope=EVERYTHING&amp;vid=01CRU&amp;lang=en_US&amp;offset=0&amp;query=any,contains,991000763909702656","Catalog Record")</f>
        <v/>
      </c>
      <c r="AT1015">
        <f>HYPERLINK("http://www.worldcat.org/oclc/12977446","WorldCat Record")</f>
        <v/>
      </c>
      <c r="AU1015" t="inlineStr">
        <is>
          <t>223871758:eng</t>
        </is>
      </c>
      <c r="AV1015" t="inlineStr">
        <is>
          <t>12977446</t>
        </is>
      </c>
      <c r="AW1015" t="inlineStr">
        <is>
          <t>991000763909702656</t>
        </is>
      </c>
      <c r="AX1015" t="inlineStr">
        <is>
          <t>991000763909702656</t>
        </is>
      </c>
      <c r="AY1015" t="inlineStr">
        <is>
          <t>2261322570002656</t>
        </is>
      </c>
      <c r="AZ1015" t="inlineStr">
        <is>
          <t>BOOK</t>
        </is>
      </c>
      <c r="BB1015" t="inlineStr">
        <is>
          <t>9780664246952</t>
        </is>
      </c>
      <c r="BC1015" t="inlineStr">
        <is>
          <t>32285001604981</t>
        </is>
      </c>
      <c r="BD1015" t="inlineStr">
        <is>
          <t>893528371</t>
        </is>
      </c>
    </row>
    <row r="1016">
      <c r="A1016" t="inlineStr">
        <is>
          <t>No</t>
        </is>
      </c>
      <c r="B1016" t="inlineStr">
        <is>
          <t>BV630.2 .C59 1987</t>
        </is>
      </c>
      <c r="C1016" t="inlineStr">
        <is>
          <t>0                      BV 0630200C  59          1987</t>
        </is>
      </c>
      <c r="D1016" t="inlineStr">
        <is>
          <t>Church-state relations : tensions and transitions / edited by Thomas Robbins and Roland Robertson.</t>
        </is>
      </c>
      <c r="F1016" t="inlineStr">
        <is>
          <t>No</t>
        </is>
      </c>
      <c r="G1016" t="inlineStr">
        <is>
          <t>1</t>
        </is>
      </c>
      <c r="H1016" t="inlineStr">
        <is>
          <t>No</t>
        </is>
      </c>
      <c r="I1016" t="inlineStr">
        <is>
          <t>No</t>
        </is>
      </c>
      <c r="J1016" t="inlineStr">
        <is>
          <t>0</t>
        </is>
      </c>
      <c r="L1016" t="inlineStr">
        <is>
          <t>New Brunswick, N.J. : Transaction Books, c1987.</t>
        </is>
      </c>
      <c r="M1016" t="inlineStr">
        <is>
          <t>1987</t>
        </is>
      </c>
      <c r="O1016" t="inlineStr">
        <is>
          <t>eng</t>
        </is>
      </c>
      <c r="P1016" t="inlineStr">
        <is>
          <t>nju</t>
        </is>
      </c>
      <c r="R1016" t="inlineStr">
        <is>
          <t xml:space="preserve">BV </t>
        </is>
      </c>
      <c r="S1016" t="n">
        <v>3</v>
      </c>
      <c r="T1016" t="n">
        <v>3</v>
      </c>
      <c r="U1016" t="inlineStr">
        <is>
          <t>1997-03-24</t>
        </is>
      </c>
      <c r="V1016" t="inlineStr">
        <is>
          <t>1997-03-24</t>
        </is>
      </c>
      <c r="W1016" t="inlineStr">
        <is>
          <t>1990-02-14</t>
        </is>
      </c>
      <c r="X1016" t="inlineStr">
        <is>
          <t>1990-02-14</t>
        </is>
      </c>
      <c r="Y1016" t="n">
        <v>356</v>
      </c>
      <c r="Z1016" t="n">
        <v>296</v>
      </c>
      <c r="AA1016" t="n">
        <v>308</v>
      </c>
      <c r="AB1016" t="n">
        <v>3</v>
      </c>
      <c r="AC1016" t="n">
        <v>3</v>
      </c>
      <c r="AD1016" t="n">
        <v>18</v>
      </c>
      <c r="AE1016" t="n">
        <v>18</v>
      </c>
      <c r="AF1016" t="n">
        <v>5</v>
      </c>
      <c r="AG1016" t="n">
        <v>5</v>
      </c>
      <c r="AH1016" t="n">
        <v>4</v>
      </c>
      <c r="AI1016" t="n">
        <v>4</v>
      </c>
      <c r="AJ1016" t="n">
        <v>10</v>
      </c>
      <c r="AK1016" t="n">
        <v>10</v>
      </c>
      <c r="AL1016" t="n">
        <v>2</v>
      </c>
      <c r="AM1016" t="n">
        <v>2</v>
      </c>
      <c r="AN1016" t="n">
        <v>3</v>
      </c>
      <c r="AO1016" t="n">
        <v>3</v>
      </c>
      <c r="AP1016" t="inlineStr">
        <is>
          <t>No</t>
        </is>
      </c>
      <c r="AQ1016" t="inlineStr">
        <is>
          <t>No</t>
        </is>
      </c>
      <c r="AS1016">
        <f>HYPERLINK("https://creighton-primo.hosted.exlibrisgroup.com/primo-explore/search?tab=default_tab&amp;search_scope=EVERYTHING&amp;vid=01CRU&amp;lang=en_US&amp;offset=0&amp;query=any,contains,991000801929702656","Catalog Record")</f>
        <v/>
      </c>
      <c r="AT1016">
        <f>HYPERLINK("http://www.worldcat.org/oclc/13260131","WorldCat Record")</f>
        <v/>
      </c>
      <c r="AU1016" t="inlineStr">
        <is>
          <t>889822349:eng</t>
        </is>
      </c>
      <c r="AV1016" t="inlineStr">
        <is>
          <t>13260131</t>
        </is>
      </c>
      <c r="AW1016" t="inlineStr">
        <is>
          <t>991000801929702656</t>
        </is>
      </c>
      <c r="AX1016" t="inlineStr">
        <is>
          <t>991000801929702656</t>
        </is>
      </c>
      <c r="AY1016" t="inlineStr">
        <is>
          <t>2265040220002656</t>
        </is>
      </c>
      <c r="AZ1016" t="inlineStr">
        <is>
          <t>BOOK</t>
        </is>
      </c>
      <c r="BB1016" t="inlineStr">
        <is>
          <t>9780887386510</t>
        </is>
      </c>
      <c r="BC1016" t="inlineStr">
        <is>
          <t>32285000052356</t>
        </is>
      </c>
      <c r="BD1016" t="inlineStr">
        <is>
          <t>893444468</t>
        </is>
      </c>
    </row>
    <row r="1017">
      <c r="A1017" t="inlineStr">
        <is>
          <t>No</t>
        </is>
      </c>
      <c r="B1017" t="inlineStr">
        <is>
          <t>BV630.2 .M595 1997</t>
        </is>
      </c>
      <c r="C1017" t="inlineStr">
        <is>
          <t>0                      BV 0630200M  595         1997</t>
        </is>
      </c>
      <c r="D1017" t="inlineStr">
        <is>
          <t>The challenge of pluralism : church and state in five democracies / Stephen V. Monsma, J. Christopher Soper.</t>
        </is>
      </c>
      <c r="F1017" t="inlineStr">
        <is>
          <t>No</t>
        </is>
      </c>
      <c r="G1017" t="inlineStr">
        <is>
          <t>1</t>
        </is>
      </c>
      <c r="H1017" t="inlineStr">
        <is>
          <t>No</t>
        </is>
      </c>
      <c r="I1017" t="inlineStr">
        <is>
          <t>No</t>
        </is>
      </c>
      <c r="J1017" t="inlineStr">
        <is>
          <t>0</t>
        </is>
      </c>
      <c r="K1017" t="inlineStr">
        <is>
          <t>Monsma, Stephen V., 1936-</t>
        </is>
      </c>
      <c r="L1017" t="inlineStr">
        <is>
          <t>Lanham, Md. : Rowman &amp; Littlefield, [1997?]</t>
        </is>
      </c>
      <c r="M1017" t="inlineStr">
        <is>
          <t>1997</t>
        </is>
      </c>
      <c r="O1017" t="inlineStr">
        <is>
          <t>eng</t>
        </is>
      </c>
      <c r="P1017" t="inlineStr">
        <is>
          <t>mdu</t>
        </is>
      </c>
      <c r="Q1017" t="inlineStr">
        <is>
          <t>Religious forces in the modern political world</t>
        </is>
      </c>
      <c r="R1017" t="inlineStr">
        <is>
          <t xml:space="preserve">BV </t>
        </is>
      </c>
      <c r="S1017" t="n">
        <v>5</v>
      </c>
      <c r="T1017" t="n">
        <v>5</v>
      </c>
      <c r="U1017" t="inlineStr">
        <is>
          <t>2001-11-29</t>
        </is>
      </c>
      <c r="V1017" t="inlineStr">
        <is>
          <t>2001-11-29</t>
        </is>
      </c>
      <c r="W1017" t="inlineStr">
        <is>
          <t>1998-01-22</t>
        </is>
      </c>
      <c r="X1017" t="inlineStr">
        <is>
          <t>1998-01-22</t>
        </is>
      </c>
      <c r="Y1017" t="n">
        <v>380</v>
      </c>
      <c r="Z1017" t="n">
        <v>318</v>
      </c>
      <c r="AA1017" t="n">
        <v>628</v>
      </c>
      <c r="AB1017" t="n">
        <v>3</v>
      </c>
      <c r="AC1017" t="n">
        <v>5</v>
      </c>
      <c r="AD1017" t="n">
        <v>25</v>
      </c>
      <c r="AE1017" t="n">
        <v>35</v>
      </c>
      <c r="AF1017" t="n">
        <v>8</v>
      </c>
      <c r="AG1017" t="n">
        <v>13</v>
      </c>
      <c r="AH1017" t="n">
        <v>4</v>
      </c>
      <c r="AI1017" t="n">
        <v>6</v>
      </c>
      <c r="AJ1017" t="n">
        <v>12</v>
      </c>
      <c r="AK1017" t="n">
        <v>16</v>
      </c>
      <c r="AL1017" t="n">
        <v>2</v>
      </c>
      <c r="AM1017" t="n">
        <v>4</v>
      </c>
      <c r="AN1017" t="n">
        <v>3</v>
      </c>
      <c r="AO1017" t="n">
        <v>4</v>
      </c>
      <c r="AP1017" t="inlineStr">
        <is>
          <t>No</t>
        </is>
      </c>
      <c r="AQ1017" t="inlineStr">
        <is>
          <t>Yes</t>
        </is>
      </c>
      <c r="AR1017">
        <f>HYPERLINK("http://catalog.hathitrust.org/Record/003945254","HathiTrust Record")</f>
        <v/>
      </c>
      <c r="AS1017">
        <f>HYPERLINK("https://creighton-primo.hosted.exlibrisgroup.com/primo-explore/search?tab=default_tab&amp;search_scope=EVERYTHING&amp;vid=01CRU&amp;lang=en_US&amp;offset=0&amp;query=any,contains,991002784249702656","Catalog Record")</f>
        <v/>
      </c>
      <c r="AT1017">
        <f>HYPERLINK("http://www.worldcat.org/oclc/36557001","WorldCat Record")</f>
        <v/>
      </c>
      <c r="AU1017" t="inlineStr">
        <is>
          <t>158808187:eng</t>
        </is>
      </c>
      <c r="AV1017" t="inlineStr">
        <is>
          <t>36557001</t>
        </is>
      </c>
      <c r="AW1017" t="inlineStr">
        <is>
          <t>991002784249702656</t>
        </is>
      </c>
      <c r="AX1017" t="inlineStr">
        <is>
          <t>991002784249702656</t>
        </is>
      </c>
      <c r="AY1017" t="inlineStr">
        <is>
          <t>2269173760002656</t>
        </is>
      </c>
      <c r="AZ1017" t="inlineStr">
        <is>
          <t>BOOK</t>
        </is>
      </c>
      <c r="BB1017" t="inlineStr">
        <is>
          <t>9780847685684</t>
        </is>
      </c>
      <c r="BC1017" t="inlineStr">
        <is>
          <t>32285003310041</t>
        </is>
      </c>
      <c r="BD1017" t="inlineStr">
        <is>
          <t>893704517</t>
        </is>
      </c>
    </row>
    <row r="1018">
      <c r="A1018" t="inlineStr">
        <is>
          <t>No</t>
        </is>
      </c>
      <c r="B1018" t="inlineStr">
        <is>
          <t>BV630.2 .S3</t>
        </is>
      </c>
      <c r="C1018" t="inlineStr">
        <is>
          <t>0                      BV 0630200S  3</t>
        </is>
      </c>
      <c r="D1018" t="inlineStr">
        <is>
          <t>Protestant concepts of church and state : historical backgrounds and approaches for the future / [by] Thomas G. Sanders.</t>
        </is>
      </c>
      <c r="F1018" t="inlineStr">
        <is>
          <t>No</t>
        </is>
      </c>
      <c r="G1018" t="inlineStr">
        <is>
          <t>1</t>
        </is>
      </c>
      <c r="H1018" t="inlineStr">
        <is>
          <t>No</t>
        </is>
      </c>
      <c r="I1018" t="inlineStr">
        <is>
          <t>No</t>
        </is>
      </c>
      <c r="J1018" t="inlineStr">
        <is>
          <t>0</t>
        </is>
      </c>
      <c r="K1018" t="inlineStr">
        <is>
          <t>Sanders, Thomas G. (Thomas Griffin), 1932-</t>
        </is>
      </c>
      <c r="L1018" t="inlineStr">
        <is>
          <t>New York, Holt, Reinhart and Winston [1964]</t>
        </is>
      </c>
      <c r="M1018" t="inlineStr">
        <is>
          <t>1964</t>
        </is>
      </c>
      <c r="N1018" t="inlineStr">
        <is>
          <t>[1st ed.]</t>
        </is>
      </c>
      <c r="O1018" t="inlineStr">
        <is>
          <t>eng</t>
        </is>
      </c>
      <c r="P1018" t="inlineStr">
        <is>
          <t>nyu</t>
        </is>
      </c>
      <c r="Q1018" t="inlineStr">
        <is>
          <t>Studies of church and state</t>
        </is>
      </c>
      <c r="R1018" t="inlineStr">
        <is>
          <t xml:space="preserve">BV </t>
        </is>
      </c>
      <c r="S1018" t="n">
        <v>5</v>
      </c>
      <c r="T1018" t="n">
        <v>5</v>
      </c>
      <c r="U1018" t="inlineStr">
        <is>
          <t>1997-03-24</t>
        </is>
      </c>
      <c r="V1018" t="inlineStr">
        <is>
          <t>1997-03-24</t>
        </is>
      </c>
      <c r="W1018" t="inlineStr">
        <is>
          <t>1992-01-10</t>
        </is>
      </c>
      <c r="X1018" t="inlineStr">
        <is>
          <t>1992-01-10</t>
        </is>
      </c>
      <c r="Y1018" t="n">
        <v>662</v>
      </c>
      <c r="Z1018" t="n">
        <v>610</v>
      </c>
      <c r="AA1018" t="n">
        <v>695</v>
      </c>
      <c r="AB1018" t="n">
        <v>7</v>
      </c>
      <c r="AC1018" t="n">
        <v>7</v>
      </c>
      <c r="AD1018" t="n">
        <v>40</v>
      </c>
      <c r="AE1018" t="n">
        <v>45</v>
      </c>
      <c r="AF1018" t="n">
        <v>15</v>
      </c>
      <c r="AG1018" t="n">
        <v>17</v>
      </c>
      <c r="AH1018" t="n">
        <v>8</v>
      </c>
      <c r="AI1018" t="n">
        <v>9</v>
      </c>
      <c r="AJ1018" t="n">
        <v>21</v>
      </c>
      <c r="AK1018" t="n">
        <v>23</v>
      </c>
      <c r="AL1018" t="n">
        <v>5</v>
      </c>
      <c r="AM1018" t="n">
        <v>5</v>
      </c>
      <c r="AN1018" t="n">
        <v>3</v>
      </c>
      <c r="AO1018" t="n">
        <v>4</v>
      </c>
      <c r="AP1018" t="inlineStr">
        <is>
          <t>No</t>
        </is>
      </c>
      <c r="AQ1018" t="inlineStr">
        <is>
          <t>Yes</t>
        </is>
      </c>
      <c r="AR1018">
        <f>HYPERLINK("http://catalog.hathitrust.org/Record/001413331","HathiTrust Record")</f>
        <v/>
      </c>
      <c r="AS1018">
        <f>HYPERLINK("https://creighton-primo.hosted.exlibrisgroup.com/primo-explore/search?tab=default_tab&amp;search_scope=EVERYTHING&amp;vid=01CRU&amp;lang=en_US&amp;offset=0&amp;query=any,contains,991001231229702656","Catalog Record")</f>
        <v/>
      </c>
      <c r="AT1018">
        <f>HYPERLINK("http://www.worldcat.org/oclc/203624","WorldCat Record")</f>
        <v/>
      </c>
      <c r="AU1018" t="inlineStr">
        <is>
          <t>377956966:eng</t>
        </is>
      </c>
      <c r="AV1018" t="inlineStr">
        <is>
          <t>203624</t>
        </is>
      </c>
      <c r="AW1018" t="inlineStr">
        <is>
          <t>991001231229702656</t>
        </is>
      </c>
      <c r="AX1018" t="inlineStr">
        <is>
          <t>991001231229702656</t>
        </is>
      </c>
      <c r="AY1018" t="inlineStr">
        <is>
          <t>2256033820002656</t>
        </is>
      </c>
      <c r="AZ1018" t="inlineStr">
        <is>
          <t>BOOK</t>
        </is>
      </c>
      <c r="BC1018" t="inlineStr">
        <is>
          <t>32285000903582</t>
        </is>
      </c>
      <c r="BD1018" t="inlineStr">
        <is>
          <t>893709108</t>
        </is>
      </c>
    </row>
    <row r="1019">
      <c r="A1019" t="inlineStr">
        <is>
          <t>No</t>
        </is>
      </c>
      <c r="B1019" t="inlineStr">
        <is>
          <t>BV630.2 .W58 1968</t>
        </is>
      </c>
      <c r="C1019" t="inlineStr">
        <is>
          <t>0                      BV 0630200W  58          1968</t>
        </is>
      </c>
      <c r="D1019" t="inlineStr">
        <is>
          <t>Toward consensus : Catholic-Protestant interpretations of church and state / by Donald J. Wolf.</t>
        </is>
      </c>
      <c r="F1019" t="inlineStr">
        <is>
          <t>No</t>
        </is>
      </c>
      <c r="G1019" t="inlineStr">
        <is>
          <t>1</t>
        </is>
      </c>
      <c r="H1019" t="inlineStr">
        <is>
          <t>No</t>
        </is>
      </c>
      <c r="I1019" t="inlineStr">
        <is>
          <t>No</t>
        </is>
      </c>
      <c r="J1019" t="inlineStr">
        <is>
          <t>0</t>
        </is>
      </c>
      <c r="K1019" t="inlineStr">
        <is>
          <t>Wolf, Donald J.</t>
        </is>
      </c>
      <c r="L1019" t="inlineStr">
        <is>
          <t>Garden City, N.Y. : Anchor Books, 1968.</t>
        </is>
      </c>
      <c r="M1019" t="inlineStr">
        <is>
          <t>1968</t>
        </is>
      </c>
      <c r="N1019" t="inlineStr">
        <is>
          <t>[1st ed.]</t>
        </is>
      </c>
      <c r="O1019" t="inlineStr">
        <is>
          <t>eng</t>
        </is>
      </c>
      <c r="P1019" t="inlineStr">
        <is>
          <t>nyu</t>
        </is>
      </c>
      <c r="R1019" t="inlineStr">
        <is>
          <t xml:space="preserve">BV </t>
        </is>
      </c>
      <c r="S1019" t="n">
        <v>2</v>
      </c>
      <c r="T1019" t="n">
        <v>2</v>
      </c>
      <c r="U1019" t="inlineStr">
        <is>
          <t>1992-12-01</t>
        </is>
      </c>
      <c r="V1019" t="inlineStr">
        <is>
          <t>1992-12-01</t>
        </is>
      </c>
      <c r="W1019" t="inlineStr">
        <is>
          <t>1992-01-10</t>
        </is>
      </c>
      <c r="X1019" t="inlineStr">
        <is>
          <t>1992-01-10</t>
        </is>
      </c>
      <c r="Y1019" t="n">
        <v>267</v>
      </c>
      <c r="Z1019" t="n">
        <v>242</v>
      </c>
      <c r="AA1019" t="n">
        <v>251</v>
      </c>
      <c r="AB1019" t="n">
        <v>4</v>
      </c>
      <c r="AC1019" t="n">
        <v>4</v>
      </c>
      <c r="AD1019" t="n">
        <v>23</v>
      </c>
      <c r="AE1019" t="n">
        <v>23</v>
      </c>
      <c r="AF1019" t="n">
        <v>6</v>
      </c>
      <c r="AG1019" t="n">
        <v>6</v>
      </c>
      <c r="AH1019" t="n">
        <v>4</v>
      </c>
      <c r="AI1019" t="n">
        <v>4</v>
      </c>
      <c r="AJ1019" t="n">
        <v>15</v>
      </c>
      <c r="AK1019" t="n">
        <v>15</v>
      </c>
      <c r="AL1019" t="n">
        <v>2</v>
      </c>
      <c r="AM1019" t="n">
        <v>2</v>
      </c>
      <c r="AN1019" t="n">
        <v>1</v>
      </c>
      <c r="AO1019" t="n">
        <v>1</v>
      </c>
      <c r="AP1019" t="inlineStr">
        <is>
          <t>No</t>
        </is>
      </c>
      <c r="AQ1019" t="inlineStr">
        <is>
          <t>Yes</t>
        </is>
      </c>
      <c r="AR1019">
        <f>HYPERLINK("http://catalog.hathitrust.org/Record/001413333","HathiTrust Record")</f>
        <v/>
      </c>
      <c r="AS1019">
        <f>HYPERLINK("https://creighton-primo.hosted.exlibrisgroup.com/primo-explore/search?tab=default_tab&amp;search_scope=EVERYTHING&amp;vid=01CRU&amp;lang=en_US&amp;offset=0&amp;query=any,contains,991002774869702656","Catalog Record")</f>
        <v/>
      </c>
      <c r="AT1019">
        <f>HYPERLINK("http://www.worldcat.org/oclc/438251","WorldCat Record")</f>
        <v/>
      </c>
      <c r="AU1019" t="inlineStr">
        <is>
          <t>294636944:eng</t>
        </is>
      </c>
      <c r="AV1019" t="inlineStr">
        <is>
          <t>438251</t>
        </is>
      </c>
      <c r="AW1019" t="inlineStr">
        <is>
          <t>991002774869702656</t>
        </is>
      </c>
      <c r="AX1019" t="inlineStr">
        <is>
          <t>991002774869702656</t>
        </is>
      </c>
      <c r="AY1019" t="inlineStr">
        <is>
          <t>2265213760002656</t>
        </is>
      </c>
      <c r="AZ1019" t="inlineStr">
        <is>
          <t>BOOK</t>
        </is>
      </c>
      <c r="BC1019" t="inlineStr">
        <is>
          <t>32285000903608</t>
        </is>
      </c>
      <c r="BD1019" t="inlineStr">
        <is>
          <t>893511178</t>
        </is>
      </c>
    </row>
    <row r="1020">
      <c r="A1020" t="inlineStr">
        <is>
          <t>No</t>
        </is>
      </c>
      <c r="B1020" t="inlineStr">
        <is>
          <t>BV630.3 .C47 2003</t>
        </is>
      </c>
      <c r="C1020" t="inlineStr">
        <is>
          <t>0                      BV 0630300C  47          2003</t>
        </is>
      </c>
      <c r="D1020" t="inlineStr">
        <is>
          <t>Church &amp; state : Lutheran perspectives / edited by John R. Stumme and Robert W. Tuttle.</t>
        </is>
      </c>
      <c r="F1020" t="inlineStr">
        <is>
          <t>No</t>
        </is>
      </c>
      <c r="G1020" t="inlineStr">
        <is>
          <t>1</t>
        </is>
      </c>
      <c r="H1020" t="inlineStr">
        <is>
          <t>No</t>
        </is>
      </c>
      <c r="I1020" t="inlineStr">
        <is>
          <t>No</t>
        </is>
      </c>
      <c r="J1020" t="inlineStr">
        <is>
          <t>0</t>
        </is>
      </c>
      <c r="L1020" t="inlineStr">
        <is>
          <t>Minneapolis : Fortress Press, c2003.</t>
        </is>
      </c>
      <c r="M1020" t="inlineStr">
        <is>
          <t>2003</t>
        </is>
      </c>
      <c r="O1020" t="inlineStr">
        <is>
          <t>eng</t>
        </is>
      </c>
      <c r="P1020" t="inlineStr">
        <is>
          <t>mnu</t>
        </is>
      </c>
      <c r="R1020" t="inlineStr">
        <is>
          <t xml:space="preserve">BV </t>
        </is>
      </c>
      <c r="S1020" t="n">
        <v>2</v>
      </c>
      <c r="T1020" t="n">
        <v>2</v>
      </c>
      <c r="U1020" t="inlineStr">
        <is>
          <t>2006-10-17</t>
        </is>
      </c>
      <c r="V1020" t="inlineStr">
        <is>
          <t>2006-10-17</t>
        </is>
      </c>
      <c r="W1020" t="inlineStr">
        <is>
          <t>2004-11-17</t>
        </is>
      </c>
      <c r="X1020" t="inlineStr">
        <is>
          <t>2004-11-17</t>
        </is>
      </c>
      <c r="Y1020" t="n">
        <v>173</v>
      </c>
      <c r="Z1020" t="n">
        <v>141</v>
      </c>
      <c r="AA1020" t="n">
        <v>141</v>
      </c>
      <c r="AB1020" t="n">
        <v>1</v>
      </c>
      <c r="AC1020" t="n">
        <v>1</v>
      </c>
      <c r="AD1020" t="n">
        <v>15</v>
      </c>
      <c r="AE1020" t="n">
        <v>15</v>
      </c>
      <c r="AF1020" t="n">
        <v>7</v>
      </c>
      <c r="AG1020" t="n">
        <v>7</v>
      </c>
      <c r="AH1020" t="n">
        <v>5</v>
      </c>
      <c r="AI1020" t="n">
        <v>5</v>
      </c>
      <c r="AJ1020" t="n">
        <v>9</v>
      </c>
      <c r="AK1020" t="n">
        <v>9</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HYPERLINK("https://creighton-primo.hosted.exlibrisgroup.com/primo-explore/search?tab=default_tab&amp;search_scope=EVERYTHING&amp;vid=01CRU&amp;lang=en_US&amp;offset=0&amp;query=any,contains,991004423049702656","Catalog Record")</f>
        <v/>
      </c>
      <c r="AT1020">
        <f>HYPERLINK("http://www.worldcat.org/oclc/51304143","WorldCat Record")</f>
        <v/>
      </c>
      <c r="AU1020" t="inlineStr">
        <is>
          <t>779565:eng</t>
        </is>
      </c>
      <c r="AV1020" t="inlineStr">
        <is>
          <t>51304143</t>
        </is>
      </c>
      <c r="AW1020" t="inlineStr">
        <is>
          <t>991004423049702656</t>
        </is>
      </c>
      <c r="AX1020" t="inlineStr">
        <is>
          <t>991004423049702656</t>
        </is>
      </c>
      <c r="AY1020" t="inlineStr">
        <is>
          <t>2255272600002656</t>
        </is>
      </c>
      <c r="AZ1020" t="inlineStr">
        <is>
          <t>BOOK</t>
        </is>
      </c>
      <c r="BB1020" t="inlineStr">
        <is>
          <t>9780800636043</t>
        </is>
      </c>
      <c r="BC1020" t="inlineStr">
        <is>
          <t>32285005010706</t>
        </is>
      </c>
      <c r="BD1020" t="inlineStr">
        <is>
          <t>893810503</t>
        </is>
      </c>
    </row>
    <row r="1021">
      <c r="A1021" t="inlineStr">
        <is>
          <t>No</t>
        </is>
      </c>
      <c r="B1021" t="inlineStr">
        <is>
          <t>BV631 .B47 1986</t>
        </is>
      </c>
      <c r="C1021" t="inlineStr">
        <is>
          <t>0                      BV 0631000B  47          1986</t>
        </is>
      </c>
      <c r="D1021" t="inlineStr">
        <is>
          <t>Between Christ and Caesar : classic and contemporary texts on church and state / [edited] by Charles Villa-Vicencio.</t>
        </is>
      </c>
      <c r="F1021" t="inlineStr">
        <is>
          <t>No</t>
        </is>
      </c>
      <c r="G1021" t="inlineStr">
        <is>
          <t>1</t>
        </is>
      </c>
      <c r="H1021" t="inlineStr">
        <is>
          <t>No</t>
        </is>
      </c>
      <c r="I1021" t="inlineStr">
        <is>
          <t>No</t>
        </is>
      </c>
      <c r="J1021" t="inlineStr">
        <is>
          <t>0</t>
        </is>
      </c>
      <c r="L1021" t="inlineStr">
        <is>
          <t>Grand Rapids, Mich. : W.B. Eerdmans Pub. Co., 1986.</t>
        </is>
      </c>
      <c r="M1021" t="inlineStr">
        <is>
          <t>1986</t>
        </is>
      </c>
      <c r="O1021" t="inlineStr">
        <is>
          <t>eng</t>
        </is>
      </c>
      <c r="P1021" t="inlineStr">
        <is>
          <t>miu</t>
        </is>
      </c>
      <c r="R1021" t="inlineStr">
        <is>
          <t xml:space="preserve">BV </t>
        </is>
      </c>
      <c r="S1021" t="n">
        <v>7</v>
      </c>
      <c r="T1021" t="n">
        <v>7</v>
      </c>
      <c r="U1021" t="inlineStr">
        <is>
          <t>2005-04-27</t>
        </is>
      </c>
      <c r="V1021" t="inlineStr">
        <is>
          <t>2005-04-27</t>
        </is>
      </c>
      <c r="W1021" t="inlineStr">
        <is>
          <t>1992-01-10</t>
        </is>
      </c>
      <c r="X1021" t="inlineStr">
        <is>
          <t>1992-01-10</t>
        </is>
      </c>
      <c r="Y1021" t="n">
        <v>356</v>
      </c>
      <c r="Z1021" t="n">
        <v>303</v>
      </c>
      <c r="AA1021" t="n">
        <v>339</v>
      </c>
      <c r="AB1021" t="n">
        <v>3</v>
      </c>
      <c r="AC1021" t="n">
        <v>3</v>
      </c>
      <c r="AD1021" t="n">
        <v>20</v>
      </c>
      <c r="AE1021" t="n">
        <v>22</v>
      </c>
      <c r="AF1021" t="n">
        <v>10</v>
      </c>
      <c r="AG1021" t="n">
        <v>10</v>
      </c>
      <c r="AH1021" t="n">
        <v>4</v>
      </c>
      <c r="AI1021" t="n">
        <v>4</v>
      </c>
      <c r="AJ1021" t="n">
        <v>11</v>
      </c>
      <c r="AK1021" t="n">
        <v>13</v>
      </c>
      <c r="AL1021" t="n">
        <v>1</v>
      </c>
      <c r="AM1021" t="n">
        <v>1</v>
      </c>
      <c r="AN1021" t="n">
        <v>0</v>
      </c>
      <c r="AO1021" t="n">
        <v>0</v>
      </c>
      <c r="AP1021" t="inlineStr">
        <is>
          <t>No</t>
        </is>
      </c>
      <c r="AQ1021" t="inlineStr">
        <is>
          <t>Yes</t>
        </is>
      </c>
      <c r="AR1021">
        <f>HYPERLINK("http://catalog.hathitrust.org/Record/000490926","HathiTrust Record")</f>
        <v/>
      </c>
      <c r="AS1021">
        <f>HYPERLINK("https://creighton-primo.hosted.exlibrisgroup.com/primo-explore/search?tab=default_tab&amp;search_scope=EVERYTHING&amp;vid=01CRU&amp;lang=en_US&amp;offset=0&amp;query=any,contains,991001113029702656","Catalog Record")</f>
        <v/>
      </c>
      <c r="AT1021">
        <f>HYPERLINK("http://www.worldcat.org/oclc/16669392","WorldCat Record")</f>
        <v/>
      </c>
      <c r="AU1021" t="inlineStr">
        <is>
          <t>55006535:eng</t>
        </is>
      </c>
      <c r="AV1021" t="inlineStr">
        <is>
          <t>16669392</t>
        </is>
      </c>
      <c r="AW1021" t="inlineStr">
        <is>
          <t>991001113029702656</t>
        </is>
      </c>
      <c r="AX1021" t="inlineStr">
        <is>
          <t>991001113029702656</t>
        </is>
      </c>
      <c r="AY1021" t="inlineStr">
        <is>
          <t>2264681800002656</t>
        </is>
      </c>
      <c r="AZ1021" t="inlineStr">
        <is>
          <t>BOOK</t>
        </is>
      </c>
      <c r="BB1021" t="inlineStr">
        <is>
          <t>9780802802408</t>
        </is>
      </c>
      <c r="BC1021" t="inlineStr">
        <is>
          <t>32285000903616</t>
        </is>
      </c>
      <c r="BD1021" t="inlineStr">
        <is>
          <t>893413965</t>
        </is>
      </c>
    </row>
    <row r="1022">
      <c r="A1022" t="inlineStr">
        <is>
          <t>No</t>
        </is>
      </c>
      <c r="B1022" t="inlineStr">
        <is>
          <t>BV637 .U734 1998</t>
        </is>
      </c>
      <c r="C1022" t="inlineStr">
        <is>
          <t>0                      BV 0637000U  734         1998</t>
        </is>
      </c>
      <c r="D1022" t="inlineStr">
        <is>
          <t>Urban theology : a reader / edited by Michael Northcott, for the Archbishop of Canterbury's Urban Theology Group.</t>
        </is>
      </c>
      <c r="F1022" t="inlineStr">
        <is>
          <t>No</t>
        </is>
      </c>
      <c r="G1022" t="inlineStr">
        <is>
          <t>1</t>
        </is>
      </c>
      <c r="H1022" t="inlineStr">
        <is>
          <t>No</t>
        </is>
      </c>
      <c r="I1022" t="inlineStr">
        <is>
          <t>No</t>
        </is>
      </c>
      <c r="J1022" t="inlineStr">
        <is>
          <t>0</t>
        </is>
      </c>
      <c r="L1022" t="inlineStr">
        <is>
          <t>London ; Herndon, VA : Cassell, 1998.</t>
        </is>
      </c>
      <c r="M1022" t="inlineStr">
        <is>
          <t>1998</t>
        </is>
      </c>
      <c r="O1022" t="inlineStr">
        <is>
          <t>eng</t>
        </is>
      </c>
      <c r="P1022" t="inlineStr">
        <is>
          <t>enk</t>
        </is>
      </c>
      <c r="R1022" t="inlineStr">
        <is>
          <t xml:space="preserve">BV </t>
        </is>
      </c>
      <c r="S1022" t="n">
        <v>3</v>
      </c>
      <c r="T1022" t="n">
        <v>3</v>
      </c>
      <c r="U1022" t="inlineStr">
        <is>
          <t>1999-02-17</t>
        </is>
      </c>
      <c r="V1022" t="inlineStr">
        <is>
          <t>1999-02-17</t>
        </is>
      </c>
      <c r="W1022" t="inlineStr">
        <is>
          <t>1999-01-07</t>
        </is>
      </c>
      <c r="X1022" t="inlineStr">
        <is>
          <t>1999-01-07</t>
        </is>
      </c>
      <c r="Y1022" t="n">
        <v>144</v>
      </c>
      <c r="Z1022" t="n">
        <v>89</v>
      </c>
      <c r="AA1022" t="n">
        <v>96</v>
      </c>
      <c r="AB1022" t="n">
        <v>1</v>
      </c>
      <c r="AC1022" t="n">
        <v>1</v>
      </c>
      <c r="AD1022" t="n">
        <v>4</v>
      </c>
      <c r="AE1022" t="n">
        <v>4</v>
      </c>
      <c r="AF1022" t="n">
        <v>1</v>
      </c>
      <c r="AG1022" t="n">
        <v>1</v>
      </c>
      <c r="AH1022" t="n">
        <v>1</v>
      </c>
      <c r="AI1022" t="n">
        <v>1</v>
      </c>
      <c r="AJ1022" t="n">
        <v>2</v>
      </c>
      <c r="AK1022" t="n">
        <v>2</v>
      </c>
      <c r="AL1022" t="n">
        <v>0</v>
      </c>
      <c r="AM1022" t="n">
        <v>0</v>
      </c>
      <c r="AN1022" t="n">
        <v>0</v>
      </c>
      <c r="AO1022" t="n">
        <v>0</v>
      </c>
      <c r="AP1022" t="inlineStr">
        <is>
          <t>No</t>
        </is>
      </c>
      <c r="AQ1022" t="inlineStr">
        <is>
          <t>Yes</t>
        </is>
      </c>
      <c r="AR1022">
        <f>HYPERLINK("http://catalog.hathitrust.org/Record/003972030","HathiTrust Record")</f>
        <v/>
      </c>
      <c r="AS1022">
        <f>HYPERLINK("https://creighton-primo.hosted.exlibrisgroup.com/primo-explore/search?tab=default_tab&amp;search_scope=EVERYTHING&amp;vid=01CRU&amp;lang=en_US&amp;offset=0&amp;query=any,contains,991002955319702656","Catalog Record")</f>
        <v/>
      </c>
      <c r="AT1022">
        <f>HYPERLINK("http://www.worldcat.org/oclc/39441133","WorldCat Record")</f>
        <v/>
      </c>
      <c r="AU1022" t="inlineStr">
        <is>
          <t>42072823:eng</t>
        </is>
      </c>
      <c r="AV1022" t="inlineStr">
        <is>
          <t>39441133</t>
        </is>
      </c>
      <c r="AW1022" t="inlineStr">
        <is>
          <t>991002955319702656</t>
        </is>
      </c>
      <c r="AX1022" t="inlineStr">
        <is>
          <t>991002955319702656</t>
        </is>
      </c>
      <c r="AY1022" t="inlineStr">
        <is>
          <t>2255798140002656</t>
        </is>
      </c>
      <c r="AZ1022" t="inlineStr">
        <is>
          <t>BOOK</t>
        </is>
      </c>
      <c r="BB1022" t="inlineStr">
        <is>
          <t>9780304702657</t>
        </is>
      </c>
      <c r="BC1022" t="inlineStr">
        <is>
          <t>32285003510798</t>
        </is>
      </c>
      <c r="BD1022" t="inlineStr">
        <is>
          <t>893774224</t>
        </is>
      </c>
    </row>
    <row r="1023">
      <c r="A1023" t="inlineStr">
        <is>
          <t>No</t>
        </is>
      </c>
      <c r="B1023" t="inlineStr">
        <is>
          <t>BV639.C4 E23 1993</t>
        </is>
      </c>
      <c r="C1023" t="inlineStr">
        <is>
          <t>0                      BV 0639000C  4                  E  23          1993</t>
        </is>
      </c>
      <c r="D1023" t="inlineStr">
        <is>
          <t>The church and childhood : papers read at the 1993 Summer Meeting and the 1994 Winter Meeting of the Ecclesiastical History Society / edited by Diana Wood.</t>
        </is>
      </c>
      <c r="F1023" t="inlineStr">
        <is>
          <t>No</t>
        </is>
      </c>
      <c r="G1023" t="inlineStr">
        <is>
          <t>1</t>
        </is>
      </c>
      <c r="H1023" t="inlineStr">
        <is>
          <t>No</t>
        </is>
      </c>
      <c r="I1023" t="inlineStr">
        <is>
          <t>No</t>
        </is>
      </c>
      <c r="J1023" t="inlineStr">
        <is>
          <t>0</t>
        </is>
      </c>
      <c r="K1023" t="inlineStr">
        <is>
          <t>Ecclesiastical History Society. Summer Meeting (1993 : Manchester College, University of Oxford)</t>
        </is>
      </c>
      <c r="L1023" t="inlineStr">
        <is>
          <t>Oxford, OX, UK ; Cambridge, Mass., USA : Published for the Ecclesiastical History Society by Blackwell Publishers, 1994.</t>
        </is>
      </c>
      <c r="M1023" t="inlineStr">
        <is>
          <t>1994</t>
        </is>
      </c>
      <c r="O1023" t="inlineStr">
        <is>
          <t>eng</t>
        </is>
      </c>
      <c r="P1023" t="inlineStr">
        <is>
          <t>enk</t>
        </is>
      </c>
      <c r="Q1023" t="inlineStr">
        <is>
          <t>Studies in church history ; 31</t>
        </is>
      </c>
      <c r="R1023" t="inlineStr">
        <is>
          <t xml:space="preserve">BV </t>
        </is>
      </c>
      <c r="S1023" t="n">
        <v>1</v>
      </c>
      <c r="T1023" t="n">
        <v>1</v>
      </c>
      <c r="U1023" t="inlineStr">
        <is>
          <t>2004-11-12</t>
        </is>
      </c>
      <c r="V1023" t="inlineStr">
        <is>
          <t>2004-11-12</t>
        </is>
      </c>
      <c r="W1023" t="inlineStr">
        <is>
          <t>1996-09-25</t>
        </is>
      </c>
      <c r="X1023" t="inlineStr">
        <is>
          <t>1996-09-25</t>
        </is>
      </c>
      <c r="Y1023" t="n">
        <v>361</v>
      </c>
      <c r="Z1023" t="n">
        <v>223</v>
      </c>
      <c r="AA1023" t="n">
        <v>229</v>
      </c>
      <c r="AB1023" t="n">
        <v>3</v>
      </c>
      <c r="AC1023" t="n">
        <v>3</v>
      </c>
      <c r="AD1023" t="n">
        <v>22</v>
      </c>
      <c r="AE1023" t="n">
        <v>22</v>
      </c>
      <c r="AF1023" t="n">
        <v>8</v>
      </c>
      <c r="AG1023" t="n">
        <v>8</v>
      </c>
      <c r="AH1023" t="n">
        <v>7</v>
      </c>
      <c r="AI1023" t="n">
        <v>7</v>
      </c>
      <c r="AJ1023" t="n">
        <v>12</v>
      </c>
      <c r="AK1023" t="n">
        <v>12</v>
      </c>
      <c r="AL1023" t="n">
        <v>2</v>
      </c>
      <c r="AM1023" t="n">
        <v>2</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HYPERLINK("https://creighton-primo.hosted.exlibrisgroup.com/primo-explore/search?tab=default_tab&amp;search_scope=EVERYTHING&amp;vid=01CRU&amp;lang=en_US&amp;offset=0&amp;query=any,contains,991002444609702656","Catalog Record")</f>
        <v/>
      </c>
      <c r="AT1023">
        <f>HYPERLINK("http://www.worldcat.org/oclc/31883296","WorldCat Record")</f>
        <v/>
      </c>
      <c r="AU1023" t="inlineStr">
        <is>
          <t>41254684:eng</t>
        </is>
      </c>
      <c r="AV1023" t="inlineStr">
        <is>
          <t>31883296</t>
        </is>
      </c>
      <c r="AW1023" t="inlineStr">
        <is>
          <t>991002444609702656</t>
        </is>
      </c>
      <c r="AX1023" t="inlineStr">
        <is>
          <t>991002444609702656</t>
        </is>
      </c>
      <c r="AY1023" t="inlineStr">
        <is>
          <t>2266521940002656</t>
        </is>
      </c>
      <c r="AZ1023" t="inlineStr">
        <is>
          <t>BOOK</t>
        </is>
      </c>
      <c r="BB1023" t="inlineStr">
        <is>
          <t>9780631195863</t>
        </is>
      </c>
      <c r="BC1023" t="inlineStr">
        <is>
          <t>32285002319480</t>
        </is>
      </c>
      <c r="BD1023" t="inlineStr">
        <is>
          <t>893685366</t>
        </is>
      </c>
    </row>
    <row r="1024">
      <c r="A1024" t="inlineStr">
        <is>
          <t>No</t>
        </is>
      </c>
      <c r="B1024" t="inlineStr">
        <is>
          <t>BV639.C4 G6 1968</t>
        </is>
      </c>
      <c r="C1024" t="inlineStr">
        <is>
          <t>0                      BV 0639000C  4                  G  6           1968</t>
        </is>
      </c>
      <c r="D1024" t="inlineStr">
        <is>
          <t>Religious thinking from childhood to adolescence / Ronald Goldman.</t>
        </is>
      </c>
      <c r="F1024" t="inlineStr">
        <is>
          <t>No</t>
        </is>
      </c>
      <c r="G1024" t="inlineStr">
        <is>
          <t>1</t>
        </is>
      </c>
      <c r="H1024" t="inlineStr">
        <is>
          <t>No</t>
        </is>
      </c>
      <c r="I1024" t="inlineStr">
        <is>
          <t>No</t>
        </is>
      </c>
      <c r="J1024" t="inlineStr">
        <is>
          <t>0</t>
        </is>
      </c>
      <c r="K1024" t="inlineStr">
        <is>
          <t>Goldman, Ronald.</t>
        </is>
      </c>
      <c r="L1024" t="inlineStr">
        <is>
          <t>New York, Seabury Press [c1964] 1968 printing.</t>
        </is>
      </c>
      <c r="M1024" t="inlineStr">
        <is>
          <t>1964</t>
        </is>
      </c>
      <c r="O1024" t="inlineStr">
        <is>
          <t>eng</t>
        </is>
      </c>
      <c r="P1024" t="inlineStr">
        <is>
          <t>nyu</t>
        </is>
      </c>
      <c r="Q1024" t="inlineStr">
        <is>
          <t>A Seabury paperback, SP 53</t>
        </is>
      </c>
      <c r="R1024" t="inlineStr">
        <is>
          <t xml:space="preserve">BV </t>
        </is>
      </c>
      <c r="S1024" t="n">
        <v>1</v>
      </c>
      <c r="T1024" t="n">
        <v>1</v>
      </c>
      <c r="U1024" t="inlineStr">
        <is>
          <t>1992-04-06</t>
        </is>
      </c>
      <c r="V1024" t="inlineStr">
        <is>
          <t>1992-04-06</t>
        </is>
      </c>
      <c r="W1024" t="inlineStr">
        <is>
          <t>1992-01-13</t>
        </is>
      </c>
      <c r="X1024" t="inlineStr">
        <is>
          <t>1992-01-13</t>
        </is>
      </c>
      <c r="Y1024" t="n">
        <v>145</v>
      </c>
      <c r="Z1024" t="n">
        <v>130</v>
      </c>
      <c r="AA1024" t="n">
        <v>547</v>
      </c>
      <c r="AB1024" t="n">
        <v>2</v>
      </c>
      <c r="AC1024" t="n">
        <v>6</v>
      </c>
      <c r="AD1024" t="n">
        <v>7</v>
      </c>
      <c r="AE1024" t="n">
        <v>35</v>
      </c>
      <c r="AF1024" t="n">
        <v>1</v>
      </c>
      <c r="AG1024" t="n">
        <v>12</v>
      </c>
      <c r="AH1024" t="n">
        <v>2</v>
      </c>
      <c r="AI1024" t="n">
        <v>7</v>
      </c>
      <c r="AJ1024" t="n">
        <v>5</v>
      </c>
      <c r="AK1024" t="n">
        <v>23</v>
      </c>
      <c r="AL1024" t="n">
        <v>0</v>
      </c>
      <c r="AM1024" t="n">
        <v>4</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HYPERLINK("https://creighton-primo.hosted.exlibrisgroup.com/primo-explore/search?tab=default_tab&amp;search_scope=EVERYTHING&amp;vid=01CRU&amp;lang=en_US&amp;offset=0&amp;query=any,contains,991004104359702656","Catalog Record")</f>
        <v/>
      </c>
      <c r="AT1024">
        <f>HYPERLINK("http://www.worldcat.org/oclc/2377924","WorldCat Record")</f>
        <v/>
      </c>
      <c r="AU1024" t="inlineStr">
        <is>
          <t>176104:eng</t>
        </is>
      </c>
      <c r="AV1024" t="inlineStr">
        <is>
          <t>2377924</t>
        </is>
      </c>
      <c r="AW1024" t="inlineStr">
        <is>
          <t>991004104359702656</t>
        </is>
      </c>
      <c r="AX1024" t="inlineStr">
        <is>
          <t>991004104359702656</t>
        </is>
      </c>
      <c r="AY1024" t="inlineStr">
        <is>
          <t>2259780670002656</t>
        </is>
      </c>
      <c r="AZ1024" t="inlineStr">
        <is>
          <t>BOOK</t>
        </is>
      </c>
      <c r="BB1024" t="inlineStr">
        <is>
          <t>9780816420612</t>
        </is>
      </c>
      <c r="BC1024" t="inlineStr">
        <is>
          <t>32285000903723</t>
        </is>
      </c>
      <c r="BD1024" t="inlineStr">
        <is>
          <t>893618236</t>
        </is>
      </c>
    </row>
    <row r="1025">
      <c r="A1025" t="inlineStr">
        <is>
          <t>No</t>
        </is>
      </c>
      <c r="B1025" t="inlineStr">
        <is>
          <t>BV639.P6 G63 1985</t>
        </is>
      </c>
      <c r="C1025" t="inlineStr">
        <is>
          <t>0                      BV 0639000P  6                  G  63          1985</t>
        </is>
      </c>
      <c r="D1025" t="inlineStr">
        <is>
          <t>God and global justice : religion and poverty in an unequal world / edited by Frederick Ferré and Rita H. Mataragnon.</t>
        </is>
      </c>
      <c r="F1025" t="inlineStr">
        <is>
          <t>No</t>
        </is>
      </c>
      <c r="G1025" t="inlineStr">
        <is>
          <t>1</t>
        </is>
      </c>
      <c r="H1025" t="inlineStr">
        <is>
          <t>No</t>
        </is>
      </c>
      <c r="I1025" t="inlineStr">
        <is>
          <t>No</t>
        </is>
      </c>
      <c r="J1025" t="inlineStr">
        <is>
          <t>0</t>
        </is>
      </c>
      <c r="L1025" t="inlineStr">
        <is>
          <t>New York : Paragon House, c1985.</t>
        </is>
      </c>
      <c r="M1025" t="inlineStr">
        <is>
          <t>1985</t>
        </is>
      </c>
      <c r="O1025" t="inlineStr">
        <is>
          <t>eng</t>
        </is>
      </c>
      <c r="P1025" t="inlineStr">
        <is>
          <t>nyu</t>
        </is>
      </c>
      <c r="Q1025" t="inlineStr">
        <is>
          <t>God, the contemporary discussion series</t>
        </is>
      </c>
      <c r="R1025" t="inlineStr">
        <is>
          <t xml:space="preserve">BV </t>
        </is>
      </c>
      <c r="S1025" t="n">
        <v>4</v>
      </c>
      <c r="T1025" t="n">
        <v>4</v>
      </c>
      <c r="U1025" t="inlineStr">
        <is>
          <t>2001-06-08</t>
        </is>
      </c>
      <c r="V1025" t="inlineStr">
        <is>
          <t>2001-06-08</t>
        </is>
      </c>
      <c r="W1025" t="inlineStr">
        <is>
          <t>1992-01-13</t>
        </is>
      </c>
      <c r="X1025" t="inlineStr">
        <is>
          <t>1992-01-13</t>
        </is>
      </c>
      <c r="Y1025" t="n">
        <v>389</v>
      </c>
      <c r="Z1025" t="n">
        <v>351</v>
      </c>
      <c r="AA1025" t="n">
        <v>358</v>
      </c>
      <c r="AB1025" t="n">
        <v>2</v>
      </c>
      <c r="AC1025" t="n">
        <v>2</v>
      </c>
      <c r="AD1025" t="n">
        <v>20</v>
      </c>
      <c r="AE1025" t="n">
        <v>20</v>
      </c>
      <c r="AF1025" t="n">
        <v>8</v>
      </c>
      <c r="AG1025" t="n">
        <v>8</v>
      </c>
      <c r="AH1025" t="n">
        <v>4</v>
      </c>
      <c r="AI1025" t="n">
        <v>4</v>
      </c>
      <c r="AJ1025" t="n">
        <v>15</v>
      </c>
      <c r="AK1025" t="n">
        <v>15</v>
      </c>
      <c r="AL1025" t="n">
        <v>1</v>
      </c>
      <c r="AM1025" t="n">
        <v>1</v>
      </c>
      <c r="AN1025" t="n">
        <v>0</v>
      </c>
      <c r="AO1025" t="n">
        <v>0</v>
      </c>
      <c r="AP1025" t="inlineStr">
        <is>
          <t>No</t>
        </is>
      </c>
      <c r="AQ1025" t="inlineStr">
        <is>
          <t>Yes</t>
        </is>
      </c>
      <c r="AR1025">
        <f>HYPERLINK("http://catalog.hathitrust.org/Record/000428241","HathiTrust Record")</f>
        <v/>
      </c>
      <c r="AS1025">
        <f>HYPERLINK("https://creighton-primo.hosted.exlibrisgroup.com/primo-explore/search?tab=default_tab&amp;search_scope=EVERYTHING&amp;vid=01CRU&amp;lang=en_US&amp;offset=0&amp;query=any,contains,991000561959702656","Catalog Record")</f>
        <v/>
      </c>
      <c r="AT1025">
        <f>HYPERLINK("http://www.worldcat.org/oclc/11599065","WorldCat Record")</f>
        <v/>
      </c>
      <c r="AU1025" t="inlineStr">
        <is>
          <t>429565803:eng</t>
        </is>
      </c>
      <c r="AV1025" t="inlineStr">
        <is>
          <t>11599065</t>
        </is>
      </c>
      <c r="AW1025" t="inlineStr">
        <is>
          <t>991000561959702656</t>
        </is>
      </c>
      <c r="AX1025" t="inlineStr">
        <is>
          <t>991000561959702656</t>
        </is>
      </c>
      <c r="AY1025" t="inlineStr">
        <is>
          <t>2261508970002656</t>
        </is>
      </c>
      <c r="AZ1025" t="inlineStr">
        <is>
          <t>BOOK</t>
        </is>
      </c>
      <c r="BB1025" t="inlineStr">
        <is>
          <t>9780913757376</t>
        </is>
      </c>
      <c r="BC1025" t="inlineStr">
        <is>
          <t>32285000903756</t>
        </is>
      </c>
      <c r="BD1025" t="inlineStr">
        <is>
          <t>893796777</t>
        </is>
      </c>
    </row>
    <row r="1026">
      <c r="A1026" t="inlineStr">
        <is>
          <t>No</t>
        </is>
      </c>
      <c r="B1026" t="inlineStr">
        <is>
          <t>BV639.P6 S46 1980</t>
        </is>
      </c>
      <c r="C1026" t="inlineStr">
        <is>
          <t>0                      BV 0639000P  6                  S  46          1980</t>
        </is>
      </c>
      <c r="D1026" t="inlineStr">
        <is>
          <t>Separation without hope? : Essays on the relation between the Church and the poor during the industrial revolution and the Western colonial expansion / [edited by Julio de Santa Ana].</t>
        </is>
      </c>
      <c r="F1026" t="inlineStr">
        <is>
          <t>No</t>
        </is>
      </c>
      <c r="G1026" t="inlineStr">
        <is>
          <t>1</t>
        </is>
      </c>
      <c r="H1026" t="inlineStr">
        <is>
          <t>No</t>
        </is>
      </c>
      <c r="I1026" t="inlineStr">
        <is>
          <t>No</t>
        </is>
      </c>
      <c r="J1026" t="inlineStr">
        <is>
          <t>0</t>
        </is>
      </c>
      <c r="L1026" t="inlineStr">
        <is>
          <t>Maryknoll, N.Y. : Orbis Books, 1980, c1978.</t>
        </is>
      </c>
      <c r="M1026" t="inlineStr">
        <is>
          <t>1980</t>
        </is>
      </c>
      <c r="N1026" t="inlineStr">
        <is>
          <t>U.S. ed.</t>
        </is>
      </c>
      <c r="O1026" t="inlineStr">
        <is>
          <t>eng</t>
        </is>
      </c>
      <c r="P1026" t="inlineStr">
        <is>
          <t>nyu</t>
        </is>
      </c>
      <c r="R1026" t="inlineStr">
        <is>
          <t xml:space="preserve">BV </t>
        </is>
      </c>
      <c r="S1026" t="n">
        <v>3</v>
      </c>
      <c r="T1026" t="n">
        <v>3</v>
      </c>
      <c r="U1026" t="inlineStr">
        <is>
          <t>1998-03-29</t>
        </is>
      </c>
      <c r="V1026" t="inlineStr">
        <is>
          <t>1998-03-29</t>
        </is>
      </c>
      <c r="W1026" t="inlineStr">
        <is>
          <t>1992-01-13</t>
        </is>
      </c>
      <c r="X1026" t="inlineStr">
        <is>
          <t>1992-01-13</t>
        </is>
      </c>
      <c r="Y1026" t="n">
        <v>168</v>
      </c>
      <c r="Z1026" t="n">
        <v>131</v>
      </c>
      <c r="AA1026" t="n">
        <v>212</v>
      </c>
      <c r="AB1026" t="n">
        <v>1</v>
      </c>
      <c r="AC1026" t="n">
        <v>1</v>
      </c>
      <c r="AD1026" t="n">
        <v>15</v>
      </c>
      <c r="AE1026" t="n">
        <v>19</v>
      </c>
      <c r="AF1026" t="n">
        <v>2</v>
      </c>
      <c r="AG1026" t="n">
        <v>3</v>
      </c>
      <c r="AH1026" t="n">
        <v>7</v>
      </c>
      <c r="AI1026" t="n">
        <v>7</v>
      </c>
      <c r="AJ1026" t="n">
        <v>11</v>
      </c>
      <c r="AK1026" t="n">
        <v>14</v>
      </c>
      <c r="AL1026" t="n">
        <v>0</v>
      </c>
      <c r="AM1026" t="n">
        <v>0</v>
      </c>
      <c r="AN1026" t="n">
        <v>0</v>
      </c>
      <c r="AO1026" t="n">
        <v>0</v>
      </c>
      <c r="AP1026" t="inlineStr">
        <is>
          <t>No</t>
        </is>
      </c>
      <c r="AQ1026" t="inlineStr">
        <is>
          <t>Yes</t>
        </is>
      </c>
      <c r="AR1026">
        <f>HYPERLINK("http://catalog.hathitrust.org/Record/009490114","HathiTrust Record")</f>
        <v/>
      </c>
      <c r="AS1026">
        <f>HYPERLINK("https://creighton-primo.hosted.exlibrisgroup.com/primo-explore/search?tab=default_tab&amp;search_scope=EVERYTHING&amp;vid=01CRU&amp;lang=en_US&amp;offset=0&amp;query=any,contains,991004937629702656","Catalog Record")</f>
        <v/>
      </c>
      <c r="AT1026">
        <f>HYPERLINK("http://www.worldcat.org/oclc/6144158","WorldCat Record")</f>
        <v/>
      </c>
      <c r="AU1026" t="inlineStr">
        <is>
          <t>1067748252:eng</t>
        </is>
      </c>
      <c r="AV1026" t="inlineStr">
        <is>
          <t>6144158</t>
        </is>
      </c>
      <c r="AW1026" t="inlineStr">
        <is>
          <t>991004937629702656</t>
        </is>
      </c>
      <c r="AX1026" t="inlineStr">
        <is>
          <t>991004937629702656</t>
        </is>
      </c>
      <c r="AY1026" t="inlineStr">
        <is>
          <t>2260306710002656</t>
        </is>
      </c>
      <c r="AZ1026" t="inlineStr">
        <is>
          <t>BOOK</t>
        </is>
      </c>
      <c r="BB1026" t="inlineStr">
        <is>
          <t>9780883444566</t>
        </is>
      </c>
      <c r="BC1026" t="inlineStr">
        <is>
          <t>32285000903798</t>
        </is>
      </c>
      <c r="BD1026" t="inlineStr">
        <is>
          <t>893344431</t>
        </is>
      </c>
    </row>
    <row r="1027">
      <c r="A1027" t="inlineStr">
        <is>
          <t>No</t>
        </is>
      </c>
      <c r="B1027" t="inlineStr">
        <is>
          <t>BV639.W7 C33 1959</t>
        </is>
      </c>
      <c r="C1027" t="inlineStr">
        <is>
          <t>0                      BV 0639000W  7                  C  33          1959</t>
        </is>
      </c>
      <c r="D1027" t="inlineStr">
        <is>
          <t>The woman in the modern world / selected and arr. by the monks of Solesmes.</t>
        </is>
      </c>
      <c r="F1027" t="inlineStr">
        <is>
          <t>No</t>
        </is>
      </c>
      <c r="G1027" t="inlineStr">
        <is>
          <t>1</t>
        </is>
      </c>
      <c r="H1027" t="inlineStr">
        <is>
          <t>No</t>
        </is>
      </c>
      <c r="I1027" t="inlineStr">
        <is>
          <t>No</t>
        </is>
      </c>
      <c r="J1027" t="inlineStr">
        <is>
          <t>0</t>
        </is>
      </c>
      <c r="K1027" t="inlineStr">
        <is>
          <t>Catholic Church. Pope.</t>
        </is>
      </c>
      <c r="L1027" t="inlineStr">
        <is>
          <t>[Boston] : St. Paul Editions, [1959]</t>
        </is>
      </c>
      <c r="M1027" t="inlineStr">
        <is>
          <t>1959</t>
        </is>
      </c>
      <c r="O1027" t="inlineStr">
        <is>
          <t>eng</t>
        </is>
      </c>
      <c r="P1027" t="inlineStr">
        <is>
          <t xml:space="preserve">xx </t>
        </is>
      </c>
      <c r="Q1027" t="inlineStr">
        <is>
          <t>Papal teachings</t>
        </is>
      </c>
      <c r="R1027" t="inlineStr">
        <is>
          <t xml:space="preserve">BV </t>
        </is>
      </c>
      <c r="S1027" t="n">
        <v>5</v>
      </c>
      <c r="T1027" t="n">
        <v>5</v>
      </c>
      <c r="U1027" t="inlineStr">
        <is>
          <t>1995-04-26</t>
        </is>
      </c>
      <c r="V1027" t="inlineStr">
        <is>
          <t>1995-04-26</t>
        </is>
      </c>
      <c r="W1027" t="inlineStr">
        <is>
          <t>1995-06-30</t>
        </is>
      </c>
      <c r="X1027" t="inlineStr">
        <is>
          <t>1995-06-30</t>
        </is>
      </c>
      <c r="Y1027" t="n">
        <v>207</v>
      </c>
      <c r="Z1027" t="n">
        <v>178</v>
      </c>
      <c r="AA1027" t="n">
        <v>180</v>
      </c>
      <c r="AB1027" t="n">
        <v>2</v>
      </c>
      <c r="AC1027" t="n">
        <v>2</v>
      </c>
      <c r="AD1027" t="n">
        <v>26</v>
      </c>
      <c r="AE1027" t="n">
        <v>26</v>
      </c>
      <c r="AF1027" t="n">
        <v>7</v>
      </c>
      <c r="AG1027" t="n">
        <v>7</v>
      </c>
      <c r="AH1027" t="n">
        <v>7</v>
      </c>
      <c r="AI1027" t="n">
        <v>7</v>
      </c>
      <c r="AJ1027" t="n">
        <v>20</v>
      </c>
      <c r="AK1027" t="n">
        <v>20</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HYPERLINK("https://creighton-primo.hosted.exlibrisgroup.com/primo-explore/search?tab=default_tab&amp;search_scope=EVERYTHING&amp;vid=01CRU&amp;lang=en_US&amp;offset=0&amp;query=any,contains,991003716739702656","Catalog Record")</f>
        <v/>
      </c>
      <c r="AT1027">
        <f>HYPERLINK("http://www.worldcat.org/oclc/1362224","WorldCat Record")</f>
        <v/>
      </c>
      <c r="AU1027" t="inlineStr">
        <is>
          <t>2265564:eng</t>
        </is>
      </c>
      <c r="AV1027" t="inlineStr">
        <is>
          <t>1362224</t>
        </is>
      </c>
      <c r="AW1027" t="inlineStr">
        <is>
          <t>991003716739702656</t>
        </is>
      </c>
      <c r="AX1027" t="inlineStr">
        <is>
          <t>991003716739702656</t>
        </is>
      </c>
      <c r="AY1027" t="inlineStr">
        <is>
          <t>2258766560002656</t>
        </is>
      </c>
      <c r="AZ1027" t="inlineStr">
        <is>
          <t>BOOK</t>
        </is>
      </c>
      <c r="BC1027" t="inlineStr">
        <is>
          <t>32285002021953</t>
        </is>
      </c>
      <c r="BD1027" t="inlineStr">
        <is>
          <t>893699317</t>
        </is>
      </c>
    </row>
    <row r="1028">
      <c r="A1028" t="inlineStr">
        <is>
          <t>No</t>
        </is>
      </c>
      <c r="B1028" t="inlineStr">
        <is>
          <t>BV639.W7 D338 1993</t>
        </is>
      </c>
      <c r="C1028" t="inlineStr">
        <is>
          <t>0                      BV 0639000W  7                  D  338         1993</t>
        </is>
      </c>
      <c r="D1028" t="inlineStr">
        <is>
          <t>Religious impulse in selected autobiographies of American women (c. 1630-1893) : uses of the spirit / Phebe Davidson.</t>
        </is>
      </c>
      <c r="F1028" t="inlineStr">
        <is>
          <t>No</t>
        </is>
      </c>
      <c r="G1028" t="inlineStr">
        <is>
          <t>1</t>
        </is>
      </c>
      <c r="H1028" t="inlineStr">
        <is>
          <t>No</t>
        </is>
      </c>
      <c r="I1028" t="inlineStr">
        <is>
          <t>No</t>
        </is>
      </c>
      <c r="J1028" t="inlineStr">
        <is>
          <t>0</t>
        </is>
      </c>
      <c r="K1028" t="inlineStr">
        <is>
          <t>Davidson, Phebe.</t>
        </is>
      </c>
      <c r="L1028" t="inlineStr">
        <is>
          <t>Lewiston [NY] : E. Mellen Press, c1993.</t>
        </is>
      </c>
      <c r="M1028" t="inlineStr">
        <is>
          <t>1993</t>
        </is>
      </c>
      <c r="O1028" t="inlineStr">
        <is>
          <t>eng</t>
        </is>
      </c>
      <c r="P1028" t="inlineStr">
        <is>
          <t>nyu</t>
        </is>
      </c>
      <c r="Q1028" t="inlineStr">
        <is>
          <t>Studies in women and religion ; v. 33</t>
        </is>
      </c>
      <c r="R1028" t="inlineStr">
        <is>
          <t xml:space="preserve">BV </t>
        </is>
      </c>
      <c r="S1028" t="n">
        <v>1</v>
      </c>
      <c r="T1028" t="n">
        <v>1</v>
      </c>
      <c r="U1028" t="inlineStr">
        <is>
          <t>2010-11-14</t>
        </is>
      </c>
      <c r="V1028" t="inlineStr">
        <is>
          <t>2010-11-14</t>
        </is>
      </c>
      <c r="W1028" t="inlineStr">
        <is>
          <t>1998-12-15</t>
        </is>
      </c>
      <c r="X1028" t="inlineStr">
        <is>
          <t>1998-12-15</t>
        </is>
      </c>
      <c r="Y1028" t="n">
        <v>160</v>
      </c>
      <c r="Z1028" t="n">
        <v>136</v>
      </c>
      <c r="AA1028" t="n">
        <v>137</v>
      </c>
      <c r="AB1028" t="n">
        <v>3</v>
      </c>
      <c r="AC1028" t="n">
        <v>3</v>
      </c>
      <c r="AD1028" t="n">
        <v>9</v>
      </c>
      <c r="AE1028" t="n">
        <v>9</v>
      </c>
      <c r="AF1028" t="n">
        <v>3</v>
      </c>
      <c r="AG1028" t="n">
        <v>3</v>
      </c>
      <c r="AH1028" t="n">
        <v>2</v>
      </c>
      <c r="AI1028" t="n">
        <v>2</v>
      </c>
      <c r="AJ1028" t="n">
        <v>5</v>
      </c>
      <c r="AK1028" t="n">
        <v>5</v>
      </c>
      <c r="AL1028" t="n">
        <v>2</v>
      </c>
      <c r="AM1028" t="n">
        <v>2</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HYPERLINK("https://creighton-primo.hosted.exlibrisgroup.com/primo-explore/search?tab=default_tab&amp;search_scope=EVERYTHING&amp;vid=01CRU&amp;lang=en_US&amp;offset=0&amp;query=any,contains,991002223669702656","Catalog Record")</f>
        <v/>
      </c>
      <c r="AT1028">
        <f>HYPERLINK("http://www.worldcat.org/oclc/28634603","WorldCat Record")</f>
        <v/>
      </c>
      <c r="AU1028" t="inlineStr">
        <is>
          <t>138734451:eng</t>
        </is>
      </c>
      <c r="AV1028" t="inlineStr">
        <is>
          <t>28634603</t>
        </is>
      </c>
      <c r="AW1028" t="inlineStr">
        <is>
          <t>991002223669702656</t>
        </is>
      </c>
      <c r="AX1028" t="inlineStr">
        <is>
          <t>991002223669702656</t>
        </is>
      </c>
      <c r="AY1028" t="inlineStr">
        <is>
          <t>2257407450002656</t>
        </is>
      </c>
      <c r="AZ1028" t="inlineStr">
        <is>
          <t>BOOK</t>
        </is>
      </c>
      <c r="BB1028" t="inlineStr">
        <is>
          <t>9780773493544</t>
        </is>
      </c>
      <c r="BC1028" t="inlineStr">
        <is>
          <t>32285003506531</t>
        </is>
      </c>
      <c r="BD1028" t="inlineStr">
        <is>
          <t>893529686</t>
        </is>
      </c>
    </row>
    <row r="1029">
      <c r="A1029" t="inlineStr">
        <is>
          <t>No</t>
        </is>
      </c>
      <c r="B1029" t="inlineStr">
        <is>
          <t>BV639.W7 D37 1990</t>
        </is>
      </c>
      <c r="C1029" t="inlineStr">
        <is>
          <t>0                      BV 0639000W  7                  D  37          1990</t>
        </is>
      </c>
      <c r="D1029" t="inlineStr">
        <is>
          <t>Ungodly women : gender and the first wave of American fundamentalism / Betty A. DeBerg.</t>
        </is>
      </c>
      <c r="F1029" t="inlineStr">
        <is>
          <t>No</t>
        </is>
      </c>
      <c r="G1029" t="inlineStr">
        <is>
          <t>1</t>
        </is>
      </c>
      <c r="H1029" t="inlineStr">
        <is>
          <t>No</t>
        </is>
      </c>
      <c r="I1029" t="inlineStr">
        <is>
          <t>No</t>
        </is>
      </c>
      <c r="J1029" t="inlineStr">
        <is>
          <t>0</t>
        </is>
      </c>
      <c r="K1029" t="inlineStr">
        <is>
          <t>DeBerg, Betty A., 1953-</t>
        </is>
      </c>
      <c r="L1029" t="inlineStr">
        <is>
          <t>Minneapolis : Fortress Press, c1990.</t>
        </is>
      </c>
      <c r="M1029" t="inlineStr">
        <is>
          <t>1990</t>
        </is>
      </c>
      <c r="O1029" t="inlineStr">
        <is>
          <t>eng</t>
        </is>
      </c>
      <c r="P1029" t="inlineStr">
        <is>
          <t>mnu</t>
        </is>
      </c>
      <c r="R1029" t="inlineStr">
        <is>
          <t xml:space="preserve">BV </t>
        </is>
      </c>
      <c r="S1029" t="n">
        <v>5</v>
      </c>
      <c r="T1029" t="n">
        <v>5</v>
      </c>
      <c r="U1029" t="inlineStr">
        <is>
          <t>1994-04-04</t>
        </is>
      </c>
      <c r="V1029" t="inlineStr">
        <is>
          <t>1994-04-04</t>
        </is>
      </c>
      <c r="W1029" t="inlineStr">
        <is>
          <t>1992-01-28</t>
        </is>
      </c>
      <c r="X1029" t="inlineStr">
        <is>
          <t>1992-01-28</t>
        </is>
      </c>
      <c r="Y1029" t="n">
        <v>612</v>
      </c>
      <c r="Z1029" t="n">
        <v>522</v>
      </c>
      <c r="AA1029" t="n">
        <v>579</v>
      </c>
      <c r="AB1029" t="n">
        <v>3</v>
      </c>
      <c r="AC1029" t="n">
        <v>4</v>
      </c>
      <c r="AD1029" t="n">
        <v>26</v>
      </c>
      <c r="AE1029" t="n">
        <v>29</v>
      </c>
      <c r="AF1029" t="n">
        <v>9</v>
      </c>
      <c r="AG1029" t="n">
        <v>11</v>
      </c>
      <c r="AH1029" t="n">
        <v>6</v>
      </c>
      <c r="AI1029" t="n">
        <v>6</v>
      </c>
      <c r="AJ1029" t="n">
        <v>14</v>
      </c>
      <c r="AK1029" t="n">
        <v>15</v>
      </c>
      <c r="AL1029" t="n">
        <v>2</v>
      </c>
      <c r="AM1029" t="n">
        <v>3</v>
      </c>
      <c r="AN1029" t="n">
        <v>0</v>
      </c>
      <c r="AO1029" t="n">
        <v>0</v>
      </c>
      <c r="AP1029" t="inlineStr">
        <is>
          <t>No</t>
        </is>
      </c>
      <c r="AQ1029" t="inlineStr">
        <is>
          <t>Yes</t>
        </is>
      </c>
      <c r="AR1029">
        <f>HYPERLINK("http://catalog.hathitrust.org/Record/002437462","HathiTrust Record")</f>
        <v/>
      </c>
      <c r="AS1029">
        <f>HYPERLINK("https://creighton-primo.hosted.exlibrisgroup.com/primo-explore/search?tab=default_tab&amp;search_scope=EVERYTHING&amp;vid=01CRU&amp;lang=en_US&amp;offset=0&amp;query=any,contains,991001687049702656","Catalog Record")</f>
        <v/>
      </c>
      <c r="AT1029">
        <f>HYPERLINK("http://www.worldcat.org/oclc/21408042","WorldCat Record")</f>
        <v/>
      </c>
      <c r="AU1029" t="inlineStr">
        <is>
          <t>22926099:eng</t>
        </is>
      </c>
      <c r="AV1029" t="inlineStr">
        <is>
          <t>21408042</t>
        </is>
      </c>
      <c r="AW1029" t="inlineStr">
        <is>
          <t>991001687049702656</t>
        </is>
      </c>
      <c r="AX1029" t="inlineStr">
        <is>
          <t>991001687049702656</t>
        </is>
      </c>
      <c r="AY1029" t="inlineStr">
        <is>
          <t>2270971910002656</t>
        </is>
      </c>
      <c r="AZ1029" t="inlineStr">
        <is>
          <t>BOOK</t>
        </is>
      </c>
      <c r="BB1029" t="inlineStr">
        <is>
          <t>9780800624392</t>
        </is>
      </c>
      <c r="BC1029" t="inlineStr">
        <is>
          <t>32285000867324</t>
        </is>
      </c>
      <c r="BD1029" t="inlineStr">
        <is>
          <t>893879086</t>
        </is>
      </c>
    </row>
    <row r="1030">
      <c r="A1030" t="inlineStr">
        <is>
          <t>No</t>
        </is>
      </c>
      <c r="B1030" t="inlineStr">
        <is>
          <t>BV639.W7 D86 1989</t>
        </is>
      </c>
      <c r="C1030" t="inlineStr">
        <is>
          <t>0                      BV 0639000W  7                  D  86          1989</t>
        </is>
      </c>
      <c r="D1030" t="inlineStr">
        <is>
          <t>Beyond servanthood : Christianity and the liberation of women / Susan Nelson Dunfee.</t>
        </is>
      </c>
      <c r="F1030" t="inlineStr">
        <is>
          <t>No</t>
        </is>
      </c>
      <c r="G1030" t="inlineStr">
        <is>
          <t>1</t>
        </is>
      </c>
      <c r="H1030" t="inlineStr">
        <is>
          <t>No</t>
        </is>
      </c>
      <c r="I1030" t="inlineStr">
        <is>
          <t>No</t>
        </is>
      </c>
      <c r="J1030" t="inlineStr">
        <is>
          <t>0</t>
        </is>
      </c>
      <c r="K1030" t="inlineStr">
        <is>
          <t>Dunfee, Susan Nelson, 1947-</t>
        </is>
      </c>
      <c r="L1030" t="inlineStr">
        <is>
          <t>Lanham : University Press of America, c1989.</t>
        </is>
      </c>
      <c r="M1030" t="inlineStr">
        <is>
          <t>1989</t>
        </is>
      </c>
      <c r="O1030" t="inlineStr">
        <is>
          <t>eng</t>
        </is>
      </c>
      <c r="P1030" t="inlineStr">
        <is>
          <t>mdu</t>
        </is>
      </c>
      <c r="R1030" t="inlineStr">
        <is>
          <t xml:space="preserve">BV </t>
        </is>
      </c>
      <c r="S1030" t="n">
        <v>4</v>
      </c>
      <c r="T1030" t="n">
        <v>4</v>
      </c>
      <c r="U1030" t="inlineStr">
        <is>
          <t>1993-09-02</t>
        </is>
      </c>
      <c r="V1030" t="inlineStr">
        <is>
          <t>1993-09-02</t>
        </is>
      </c>
      <c r="W1030" t="inlineStr">
        <is>
          <t>1992-02-10</t>
        </is>
      </c>
      <c r="X1030" t="inlineStr">
        <is>
          <t>1992-02-10</t>
        </is>
      </c>
      <c r="Y1030" t="n">
        <v>210</v>
      </c>
      <c r="Z1030" t="n">
        <v>176</v>
      </c>
      <c r="AA1030" t="n">
        <v>183</v>
      </c>
      <c r="AB1030" t="n">
        <v>2</v>
      </c>
      <c r="AC1030" t="n">
        <v>2</v>
      </c>
      <c r="AD1030" t="n">
        <v>11</v>
      </c>
      <c r="AE1030" t="n">
        <v>11</v>
      </c>
      <c r="AF1030" t="n">
        <v>3</v>
      </c>
      <c r="AG1030" t="n">
        <v>3</v>
      </c>
      <c r="AH1030" t="n">
        <v>3</v>
      </c>
      <c r="AI1030" t="n">
        <v>3</v>
      </c>
      <c r="AJ1030" t="n">
        <v>6</v>
      </c>
      <c r="AK1030" t="n">
        <v>6</v>
      </c>
      <c r="AL1030" t="n">
        <v>1</v>
      </c>
      <c r="AM1030" t="n">
        <v>1</v>
      </c>
      <c r="AN1030" t="n">
        <v>0</v>
      </c>
      <c r="AO1030" t="n">
        <v>0</v>
      </c>
      <c r="AP1030" t="inlineStr">
        <is>
          <t>No</t>
        </is>
      </c>
      <c r="AQ1030" t="inlineStr">
        <is>
          <t>Yes</t>
        </is>
      </c>
      <c r="AR1030">
        <f>HYPERLINK("http://catalog.hathitrust.org/Record/001289330","HathiTrust Record")</f>
        <v/>
      </c>
      <c r="AS1030">
        <f>HYPERLINK("https://creighton-primo.hosted.exlibrisgroup.com/primo-explore/search?tab=default_tab&amp;search_scope=EVERYTHING&amp;vid=01CRU&amp;lang=en_US&amp;offset=0&amp;query=any,contains,991001361359702656","Catalog Record")</f>
        <v/>
      </c>
      <c r="AT1030">
        <f>HYPERLINK("http://www.worldcat.org/oclc/18521449","WorldCat Record")</f>
        <v/>
      </c>
      <c r="AU1030" t="inlineStr">
        <is>
          <t>836704833:eng</t>
        </is>
      </c>
      <c r="AV1030" t="inlineStr">
        <is>
          <t>18521449</t>
        </is>
      </c>
      <c r="AW1030" t="inlineStr">
        <is>
          <t>991001361359702656</t>
        </is>
      </c>
      <c r="AX1030" t="inlineStr">
        <is>
          <t>991001361359702656</t>
        </is>
      </c>
      <c r="AY1030" t="inlineStr">
        <is>
          <t>2268197170002656</t>
        </is>
      </c>
      <c r="AZ1030" t="inlineStr">
        <is>
          <t>BOOK</t>
        </is>
      </c>
      <c r="BB1030" t="inlineStr">
        <is>
          <t>9780819172242</t>
        </is>
      </c>
      <c r="BC1030" t="inlineStr">
        <is>
          <t>32285000869171</t>
        </is>
      </c>
      <c r="BD1030" t="inlineStr">
        <is>
          <t>893590220</t>
        </is>
      </c>
    </row>
    <row r="1031">
      <c r="A1031" t="inlineStr">
        <is>
          <t>No</t>
        </is>
      </c>
      <c r="B1031" t="inlineStr">
        <is>
          <t>BV639.W7 F3 1950</t>
        </is>
      </c>
      <c r="C1031" t="inlineStr">
        <is>
          <t>0                      BV 0639000W  7                  F  3           1950</t>
        </is>
      </c>
      <c r="D1031" t="inlineStr">
        <is>
          <t>The destiny of modern woman, in the light of papal teaching / William B. Faherty.</t>
        </is>
      </c>
      <c r="F1031" t="inlineStr">
        <is>
          <t>No</t>
        </is>
      </c>
      <c r="G1031" t="inlineStr">
        <is>
          <t>1</t>
        </is>
      </c>
      <c r="H1031" t="inlineStr">
        <is>
          <t>Yes</t>
        </is>
      </c>
      <c r="I1031" t="inlineStr">
        <is>
          <t>No</t>
        </is>
      </c>
      <c r="J1031" t="inlineStr">
        <is>
          <t>0</t>
        </is>
      </c>
      <c r="K1031" t="inlineStr">
        <is>
          <t>Faherty, William Barnaby, 1914-2011.</t>
        </is>
      </c>
      <c r="L1031" t="inlineStr">
        <is>
          <t>Westminster, Md. : Newman Press, 1950.</t>
        </is>
      </c>
      <c r="M1031" t="inlineStr">
        <is>
          <t>1950</t>
        </is>
      </c>
      <c r="O1031" t="inlineStr">
        <is>
          <t>eng</t>
        </is>
      </c>
      <c r="P1031" t="inlineStr">
        <is>
          <t xml:space="preserve">xx </t>
        </is>
      </c>
      <c r="R1031" t="inlineStr">
        <is>
          <t xml:space="preserve">BV </t>
        </is>
      </c>
      <c r="S1031" t="n">
        <v>2</v>
      </c>
      <c r="T1031" t="n">
        <v>7</v>
      </c>
      <c r="U1031" t="inlineStr">
        <is>
          <t>1999-02-14</t>
        </is>
      </c>
      <c r="V1031" t="inlineStr">
        <is>
          <t>1999-02-14</t>
        </is>
      </c>
      <c r="W1031" t="inlineStr">
        <is>
          <t>1991-12-09</t>
        </is>
      </c>
      <c r="X1031" t="inlineStr">
        <is>
          <t>1992-01-13</t>
        </is>
      </c>
      <c r="Y1031" t="n">
        <v>164</v>
      </c>
      <c r="Z1031" t="n">
        <v>145</v>
      </c>
      <c r="AA1031" t="n">
        <v>277</v>
      </c>
      <c r="AB1031" t="n">
        <v>1</v>
      </c>
      <c r="AC1031" t="n">
        <v>2</v>
      </c>
      <c r="AD1031" t="n">
        <v>25</v>
      </c>
      <c r="AE1031" t="n">
        <v>35</v>
      </c>
      <c r="AF1031" t="n">
        <v>6</v>
      </c>
      <c r="AG1031" t="n">
        <v>10</v>
      </c>
      <c r="AH1031" t="n">
        <v>6</v>
      </c>
      <c r="AI1031" t="n">
        <v>7</v>
      </c>
      <c r="AJ1031" t="n">
        <v>21</v>
      </c>
      <c r="AK1031" t="n">
        <v>21</v>
      </c>
      <c r="AL1031" t="n">
        <v>0</v>
      </c>
      <c r="AM1031" t="n">
        <v>1</v>
      </c>
      <c r="AN1031" t="n">
        <v>0</v>
      </c>
      <c r="AO1031" t="n">
        <v>5</v>
      </c>
      <c r="AP1031" t="inlineStr">
        <is>
          <t>Yes</t>
        </is>
      </c>
      <c r="AQ1031" t="inlineStr">
        <is>
          <t>No</t>
        </is>
      </c>
      <c r="AR1031">
        <f>HYPERLINK("http://catalog.hathitrust.org/Record/005780063","HathiTrust Record")</f>
        <v/>
      </c>
      <c r="AS1031">
        <f>HYPERLINK("https://creighton-primo.hosted.exlibrisgroup.com/primo-explore/search?tab=default_tab&amp;search_scope=EVERYTHING&amp;vid=01CRU&amp;lang=en_US&amp;offset=0&amp;query=any,contains,991003725379702656","Catalog Record")</f>
        <v/>
      </c>
      <c r="AT1031">
        <f>HYPERLINK("http://www.worldcat.org/oclc/1372026","WorldCat Record")</f>
        <v/>
      </c>
      <c r="AU1031" t="inlineStr">
        <is>
          <t>2284925:eng</t>
        </is>
      </c>
      <c r="AV1031" t="inlineStr">
        <is>
          <t>1372026</t>
        </is>
      </c>
      <c r="AW1031" t="inlineStr">
        <is>
          <t>991003725379702656</t>
        </is>
      </c>
      <c r="AX1031" t="inlineStr">
        <is>
          <t>991003725379702656</t>
        </is>
      </c>
      <c r="AY1031" t="inlineStr">
        <is>
          <t>2260667780002656</t>
        </is>
      </c>
      <c r="AZ1031" t="inlineStr">
        <is>
          <t>BOOK</t>
        </is>
      </c>
      <c r="BC1031" t="inlineStr">
        <is>
          <t>32285000829795</t>
        </is>
      </c>
      <c r="BD1031" t="inlineStr">
        <is>
          <t>893800073</t>
        </is>
      </c>
    </row>
    <row r="1032">
      <c r="A1032" t="inlineStr">
        <is>
          <t>No</t>
        </is>
      </c>
      <c r="B1032" t="inlineStr">
        <is>
          <t>BV639.W7 F3 1950</t>
        </is>
      </c>
      <c r="C1032" t="inlineStr">
        <is>
          <t>0                      BV 0639000W  7                  F  3           1950</t>
        </is>
      </c>
      <c r="D1032" t="inlineStr">
        <is>
          <t>The destiny of modern woman, in the light of papal teaching / William B. Faherty.</t>
        </is>
      </c>
      <c r="F1032" t="inlineStr">
        <is>
          <t>No</t>
        </is>
      </c>
      <c r="G1032" t="inlineStr">
        <is>
          <t>1</t>
        </is>
      </c>
      <c r="H1032" t="inlineStr">
        <is>
          <t>Yes</t>
        </is>
      </c>
      <c r="I1032" t="inlineStr">
        <is>
          <t>No</t>
        </is>
      </c>
      <c r="J1032" t="inlineStr">
        <is>
          <t>0</t>
        </is>
      </c>
      <c r="K1032" t="inlineStr">
        <is>
          <t>Faherty, William Barnaby, 1914-2011.</t>
        </is>
      </c>
      <c r="L1032" t="inlineStr">
        <is>
          <t>Westminster, Md. : Newman Press, 1950.</t>
        </is>
      </c>
      <c r="M1032" t="inlineStr">
        <is>
          <t>1950</t>
        </is>
      </c>
      <c r="O1032" t="inlineStr">
        <is>
          <t>eng</t>
        </is>
      </c>
      <c r="P1032" t="inlineStr">
        <is>
          <t xml:space="preserve">xx </t>
        </is>
      </c>
      <c r="R1032" t="inlineStr">
        <is>
          <t xml:space="preserve">BV </t>
        </is>
      </c>
      <c r="S1032" t="n">
        <v>5</v>
      </c>
      <c r="T1032" t="n">
        <v>7</v>
      </c>
      <c r="U1032" t="inlineStr">
        <is>
          <t>1995-03-21</t>
        </is>
      </c>
      <c r="V1032" t="inlineStr">
        <is>
          <t>1999-02-14</t>
        </is>
      </c>
      <c r="W1032" t="inlineStr">
        <is>
          <t>1992-01-13</t>
        </is>
      </c>
      <c r="X1032" t="inlineStr">
        <is>
          <t>1992-01-13</t>
        </is>
      </c>
      <c r="Y1032" t="n">
        <v>164</v>
      </c>
      <c r="Z1032" t="n">
        <v>145</v>
      </c>
      <c r="AA1032" t="n">
        <v>277</v>
      </c>
      <c r="AB1032" t="n">
        <v>1</v>
      </c>
      <c r="AC1032" t="n">
        <v>2</v>
      </c>
      <c r="AD1032" t="n">
        <v>25</v>
      </c>
      <c r="AE1032" t="n">
        <v>35</v>
      </c>
      <c r="AF1032" t="n">
        <v>6</v>
      </c>
      <c r="AG1032" t="n">
        <v>10</v>
      </c>
      <c r="AH1032" t="n">
        <v>6</v>
      </c>
      <c r="AI1032" t="n">
        <v>7</v>
      </c>
      <c r="AJ1032" t="n">
        <v>21</v>
      </c>
      <c r="AK1032" t="n">
        <v>21</v>
      </c>
      <c r="AL1032" t="n">
        <v>0</v>
      </c>
      <c r="AM1032" t="n">
        <v>1</v>
      </c>
      <c r="AN1032" t="n">
        <v>0</v>
      </c>
      <c r="AO1032" t="n">
        <v>5</v>
      </c>
      <c r="AP1032" t="inlineStr">
        <is>
          <t>Yes</t>
        </is>
      </c>
      <c r="AQ1032" t="inlineStr">
        <is>
          <t>No</t>
        </is>
      </c>
      <c r="AR1032">
        <f>HYPERLINK("http://catalog.hathitrust.org/Record/005780063","HathiTrust Record")</f>
        <v/>
      </c>
      <c r="AS1032">
        <f>HYPERLINK("https://creighton-primo.hosted.exlibrisgroup.com/primo-explore/search?tab=default_tab&amp;search_scope=EVERYTHING&amp;vid=01CRU&amp;lang=en_US&amp;offset=0&amp;query=any,contains,991003725379702656","Catalog Record")</f>
        <v/>
      </c>
      <c r="AT1032">
        <f>HYPERLINK("http://www.worldcat.org/oclc/1372026","WorldCat Record")</f>
        <v/>
      </c>
      <c r="AU1032" t="inlineStr">
        <is>
          <t>2284925:eng</t>
        </is>
      </c>
      <c r="AV1032" t="inlineStr">
        <is>
          <t>1372026</t>
        </is>
      </c>
      <c r="AW1032" t="inlineStr">
        <is>
          <t>991003725379702656</t>
        </is>
      </c>
      <c r="AX1032" t="inlineStr">
        <is>
          <t>991003725379702656</t>
        </is>
      </c>
      <c r="AY1032" t="inlineStr">
        <is>
          <t>2260667780002656</t>
        </is>
      </c>
      <c r="AZ1032" t="inlineStr">
        <is>
          <t>BOOK</t>
        </is>
      </c>
      <c r="BC1032" t="inlineStr">
        <is>
          <t>32285000903855</t>
        </is>
      </c>
      <c r="BD1032" t="inlineStr">
        <is>
          <t>893781317</t>
        </is>
      </c>
    </row>
    <row r="1033">
      <c r="A1033" t="inlineStr">
        <is>
          <t>No</t>
        </is>
      </c>
      <c r="B1033" t="inlineStr">
        <is>
          <t>BV639.W7 H28 1972</t>
        </is>
      </c>
      <c r="C1033" t="inlineStr">
        <is>
          <t>0                      BV 0639000W  7                  H  28          1972</t>
        </is>
      </c>
      <c r="D1033" t="inlineStr">
        <is>
          <t>Women in church and society : a historical and theological inquiry / [by] Georgia Harkness.</t>
        </is>
      </c>
      <c r="F1033" t="inlineStr">
        <is>
          <t>No</t>
        </is>
      </c>
      <c r="G1033" t="inlineStr">
        <is>
          <t>1</t>
        </is>
      </c>
      <c r="H1033" t="inlineStr">
        <is>
          <t>No</t>
        </is>
      </c>
      <c r="I1033" t="inlineStr">
        <is>
          <t>No</t>
        </is>
      </c>
      <c r="J1033" t="inlineStr">
        <is>
          <t>0</t>
        </is>
      </c>
      <c r="K1033" t="inlineStr">
        <is>
          <t>Harkness, Georgia Elma, 1891-1974.</t>
        </is>
      </c>
      <c r="L1033" t="inlineStr">
        <is>
          <t>Nashville, Abingdon Press [1971, c1972]</t>
        </is>
      </c>
      <c r="M1033" t="inlineStr">
        <is>
          <t>1971</t>
        </is>
      </c>
      <c r="O1033" t="inlineStr">
        <is>
          <t>eng</t>
        </is>
      </c>
      <c r="P1033" t="inlineStr">
        <is>
          <t>tnu</t>
        </is>
      </c>
      <c r="R1033" t="inlineStr">
        <is>
          <t xml:space="preserve">BV </t>
        </is>
      </c>
      <c r="S1033" t="n">
        <v>9</v>
      </c>
      <c r="T1033" t="n">
        <v>9</v>
      </c>
      <c r="U1033" t="inlineStr">
        <is>
          <t>2001-04-07</t>
        </is>
      </c>
      <c r="V1033" t="inlineStr">
        <is>
          <t>2001-04-07</t>
        </is>
      </c>
      <c r="W1033" t="inlineStr">
        <is>
          <t>1991-12-09</t>
        </is>
      </c>
      <c r="X1033" t="inlineStr">
        <is>
          <t>1991-12-09</t>
        </is>
      </c>
      <c r="Y1033" t="n">
        <v>751</v>
      </c>
      <c r="Z1033" t="n">
        <v>701</v>
      </c>
      <c r="AA1033" t="n">
        <v>711</v>
      </c>
      <c r="AB1033" t="n">
        <v>5</v>
      </c>
      <c r="AC1033" t="n">
        <v>5</v>
      </c>
      <c r="AD1033" t="n">
        <v>33</v>
      </c>
      <c r="AE1033" t="n">
        <v>33</v>
      </c>
      <c r="AF1033" t="n">
        <v>15</v>
      </c>
      <c r="AG1033" t="n">
        <v>15</v>
      </c>
      <c r="AH1033" t="n">
        <v>7</v>
      </c>
      <c r="AI1033" t="n">
        <v>7</v>
      </c>
      <c r="AJ1033" t="n">
        <v>15</v>
      </c>
      <c r="AK1033" t="n">
        <v>15</v>
      </c>
      <c r="AL1033" t="n">
        <v>3</v>
      </c>
      <c r="AM1033" t="n">
        <v>3</v>
      </c>
      <c r="AN1033" t="n">
        <v>0</v>
      </c>
      <c r="AO1033" t="n">
        <v>0</v>
      </c>
      <c r="AP1033" t="inlineStr">
        <is>
          <t>No</t>
        </is>
      </c>
      <c r="AQ1033" t="inlineStr">
        <is>
          <t>Yes</t>
        </is>
      </c>
      <c r="AR1033">
        <f>HYPERLINK("http://catalog.hathitrust.org/Record/001413382","HathiTrust Record")</f>
        <v/>
      </c>
      <c r="AS1033">
        <f>HYPERLINK("https://creighton-primo.hosted.exlibrisgroup.com/primo-explore/search?tab=default_tab&amp;search_scope=EVERYTHING&amp;vid=01CRU&amp;lang=en_US&amp;offset=0&amp;query=any,contains,991001907689702656","Catalog Record")</f>
        <v/>
      </c>
      <c r="AT1033">
        <f>HYPERLINK("http://www.worldcat.org/oclc/241094","WorldCat Record")</f>
        <v/>
      </c>
      <c r="AU1033" t="inlineStr">
        <is>
          <t>1385438:eng</t>
        </is>
      </c>
      <c r="AV1033" t="inlineStr">
        <is>
          <t>241094</t>
        </is>
      </c>
      <c r="AW1033" t="inlineStr">
        <is>
          <t>991001907689702656</t>
        </is>
      </c>
      <c r="AX1033" t="inlineStr">
        <is>
          <t>991001907689702656</t>
        </is>
      </c>
      <c r="AY1033" t="inlineStr">
        <is>
          <t>2269884650002656</t>
        </is>
      </c>
      <c r="AZ1033" t="inlineStr">
        <is>
          <t>BOOK</t>
        </is>
      </c>
      <c r="BB1033" t="inlineStr">
        <is>
          <t>9780687459650</t>
        </is>
      </c>
      <c r="BC1033" t="inlineStr">
        <is>
          <t>32285000829787</t>
        </is>
      </c>
      <c r="BD1033" t="inlineStr">
        <is>
          <t>893503795</t>
        </is>
      </c>
    </row>
    <row r="1034">
      <c r="A1034" t="inlineStr">
        <is>
          <t>No</t>
        </is>
      </c>
      <c r="B1034" t="inlineStr">
        <is>
          <t>BV639.W7 H47 1997</t>
        </is>
      </c>
      <c r="C1034" t="inlineStr">
        <is>
          <t>0                      BV 0639000W  7                  H  47          1997</t>
        </is>
      </c>
      <c r="D1034" t="inlineStr">
        <is>
          <t>Caretakers of our common house : women's development in communities of faith / Carol Lakey Hess.</t>
        </is>
      </c>
      <c r="F1034" t="inlineStr">
        <is>
          <t>No</t>
        </is>
      </c>
      <c r="G1034" t="inlineStr">
        <is>
          <t>1</t>
        </is>
      </c>
      <c r="H1034" t="inlineStr">
        <is>
          <t>No</t>
        </is>
      </c>
      <c r="I1034" t="inlineStr">
        <is>
          <t>No</t>
        </is>
      </c>
      <c r="J1034" t="inlineStr">
        <is>
          <t>0</t>
        </is>
      </c>
      <c r="K1034" t="inlineStr">
        <is>
          <t>Hess, Carol Lakey, 1957-</t>
        </is>
      </c>
      <c r="L1034" t="inlineStr">
        <is>
          <t>Nashville, TN : Abingdon Press, c1997.</t>
        </is>
      </c>
      <c r="M1034" t="inlineStr">
        <is>
          <t>1997</t>
        </is>
      </c>
      <c r="O1034" t="inlineStr">
        <is>
          <t>eng</t>
        </is>
      </c>
      <c r="P1034" t="inlineStr">
        <is>
          <t>tnu</t>
        </is>
      </c>
      <c r="R1034" t="inlineStr">
        <is>
          <t xml:space="preserve">BV </t>
        </is>
      </c>
      <c r="S1034" t="n">
        <v>0</v>
      </c>
      <c r="T1034" t="n">
        <v>0</v>
      </c>
      <c r="U1034" t="inlineStr">
        <is>
          <t>2008-09-22</t>
        </is>
      </c>
      <c r="V1034" t="inlineStr">
        <is>
          <t>2008-09-22</t>
        </is>
      </c>
      <c r="W1034" t="inlineStr">
        <is>
          <t>1998-12-09</t>
        </is>
      </c>
      <c r="X1034" t="inlineStr">
        <is>
          <t>1998-12-09</t>
        </is>
      </c>
      <c r="Y1034" t="n">
        <v>263</v>
      </c>
      <c r="Z1034" t="n">
        <v>226</v>
      </c>
      <c r="AA1034" t="n">
        <v>228</v>
      </c>
      <c r="AB1034" t="n">
        <v>5</v>
      </c>
      <c r="AC1034" t="n">
        <v>5</v>
      </c>
      <c r="AD1034" t="n">
        <v>18</v>
      </c>
      <c r="AE1034" t="n">
        <v>18</v>
      </c>
      <c r="AF1034" t="n">
        <v>3</v>
      </c>
      <c r="AG1034" t="n">
        <v>3</v>
      </c>
      <c r="AH1034" t="n">
        <v>6</v>
      </c>
      <c r="AI1034" t="n">
        <v>6</v>
      </c>
      <c r="AJ1034" t="n">
        <v>9</v>
      </c>
      <c r="AK1034" t="n">
        <v>9</v>
      </c>
      <c r="AL1034" t="n">
        <v>4</v>
      </c>
      <c r="AM1034" t="n">
        <v>4</v>
      </c>
      <c r="AN1034" t="n">
        <v>0</v>
      </c>
      <c r="AO1034" t="n">
        <v>0</v>
      </c>
      <c r="AP1034" t="inlineStr">
        <is>
          <t>No</t>
        </is>
      </c>
      <c r="AQ1034" t="inlineStr">
        <is>
          <t>Yes</t>
        </is>
      </c>
      <c r="AR1034">
        <f>HYPERLINK("http://catalog.hathitrust.org/Record/003949108","HathiTrust Record")</f>
        <v/>
      </c>
      <c r="AS1034">
        <f>HYPERLINK("https://creighton-primo.hosted.exlibrisgroup.com/primo-explore/search?tab=default_tab&amp;search_scope=EVERYTHING&amp;vid=01CRU&amp;lang=en_US&amp;offset=0&amp;query=any,contains,991002830619702656","Catalog Record")</f>
        <v/>
      </c>
      <c r="AT1034">
        <f>HYPERLINK("http://www.worldcat.org/oclc/37268239","WorldCat Record")</f>
        <v/>
      </c>
      <c r="AU1034" t="inlineStr">
        <is>
          <t>475168851:eng</t>
        </is>
      </c>
      <c r="AV1034" t="inlineStr">
        <is>
          <t>37268239</t>
        </is>
      </c>
      <c r="AW1034" t="inlineStr">
        <is>
          <t>991002830619702656</t>
        </is>
      </c>
      <c r="AX1034" t="inlineStr">
        <is>
          <t>991002830619702656</t>
        </is>
      </c>
      <c r="AY1034" t="inlineStr">
        <is>
          <t>2268793510002656</t>
        </is>
      </c>
      <c r="AZ1034" t="inlineStr">
        <is>
          <t>BOOK</t>
        </is>
      </c>
      <c r="BB1034" t="inlineStr">
        <is>
          <t>9780687009633</t>
        </is>
      </c>
      <c r="BC1034" t="inlineStr">
        <is>
          <t>32285003505046</t>
        </is>
      </c>
      <c r="BD1034" t="inlineStr">
        <is>
          <t>893511251</t>
        </is>
      </c>
    </row>
    <row r="1035">
      <c r="A1035" t="inlineStr">
        <is>
          <t>No</t>
        </is>
      </c>
      <c r="B1035" t="inlineStr">
        <is>
          <t>BV639.W7 M63 1973</t>
        </is>
      </c>
      <c r="C1035" t="inlineStr">
        <is>
          <t>0                      BV 0639000W  7                  M  63          1973</t>
        </is>
      </c>
      <c r="D1035" t="inlineStr">
        <is>
          <t>The lady was a bishop : the hidden history of women with clerical ordination and the jurisdiction of bishops / Joan Morris.</t>
        </is>
      </c>
      <c r="F1035" t="inlineStr">
        <is>
          <t>No</t>
        </is>
      </c>
      <c r="G1035" t="inlineStr">
        <is>
          <t>1</t>
        </is>
      </c>
      <c r="H1035" t="inlineStr">
        <is>
          <t>No</t>
        </is>
      </c>
      <c r="I1035" t="inlineStr">
        <is>
          <t>No</t>
        </is>
      </c>
      <c r="J1035" t="inlineStr">
        <is>
          <t>0</t>
        </is>
      </c>
      <c r="K1035" t="inlineStr">
        <is>
          <t>Morris, Joan.</t>
        </is>
      </c>
      <c r="L1035" t="inlineStr">
        <is>
          <t>New York : Macmillan, [1973]</t>
        </is>
      </c>
      <c r="M1035" t="inlineStr">
        <is>
          <t>1973</t>
        </is>
      </c>
      <c r="O1035" t="inlineStr">
        <is>
          <t>eng</t>
        </is>
      </c>
      <c r="P1035" t="inlineStr">
        <is>
          <t>nyu</t>
        </is>
      </c>
      <c r="R1035" t="inlineStr">
        <is>
          <t xml:space="preserve">BV </t>
        </is>
      </c>
      <c r="S1035" t="n">
        <v>3</v>
      </c>
      <c r="T1035" t="n">
        <v>3</v>
      </c>
      <c r="U1035" t="inlineStr">
        <is>
          <t>2002-07-30</t>
        </is>
      </c>
      <c r="V1035" t="inlineStr">
        <is>
          <t>2002-07-30</t>
        </is>
      </c>
      <c r="W1035" t="inlineStr">
        <is>
          <t>1992-01-13</t>
        </is>
      </c>
      <c r="X1035" t="inlineStr">
        <is>
          <t>1992-01-13</t>
        </is>
      </c>
      <c r="Y1035" t="n">
        <v>744</v>
      </c>
      <c r="Z1035" t="n">
        <v>696</v>
      </c>
      <c r="AA1035" t="n">
        <v>703</v>
      </c>
      <c r="AB1035" t="n">
        <v>7</v>
      </c>
      <c r="AC1035" t="n">
        <v>7</v>
      </c>
      <c r="AD1035" t="n">
        <v>30</v>
      </c>
      <c r="AE1035" t="n">
        <v>30</v>
      </c>
      <c r="AF1035" t="n">
        <v>6</v>
      </c>
      <c r="AG1035" t="n">
        <v>6</v>
      </c>
      <c r="AH1035" t="n">
        <v>8</v>
      </c>
      <c r="AI1035" t="n">
        <v>8</v>
      </c>
      <c r="AJ1035" t="n">
        <v>17</v>
      </c>
      <c r="AK1035" t="n">
        <v>17</v>
      </c>
      <c r="AL1035" t="n">
        <v>5</v>
      </c>
      <c r="AM1035" t="n">
        <v>5</v>
      </c>
      <c r="AN1035" t="n">
        <v>0</v>
      </c>
      <c r="AO1035" t="n">
        <v>0</v>
      </c>
      <c r="AP1035" t="inlineStr">
        <is>
          <t>No</t>
        </is>
      </c>
      <c r="AQ1035" t="inlineStr">
        <is>
          <t>Yes</t>
        </is>
      </c>
      <c r="AR1035">
        <f>HYPERLINK("http://catalog.hathitrust.org/Record/001413385","HathiTrust Record")</f>
        <v/>
      </c>
      <c r="AS1035">
        <f>HYPERLINK("https://creighton-primo.hosted.exlibrisgroup.com/primo-explore/search?tab=default_tab&amp;search_scope=EVERYTHING&amp;vid=01CRU&amp;lang=en_US&amp;offset=0&amp;query=any,contains,991003068379702656","Catalog Record")</f>
        <v/>
      </c>
      <c r="AT1035">
        <f>HYPERLINK("http://www.worldcat.org/oclc/623425","WorldCat Record")</f>
        <v/>
      </c>
      <c r="AU1035" t="inlineStr">
        <is>
          <t>1705424:eng</t>
        </is>
      </c>
      <c r="AV1035" t="inlineStr">
        <is>
          <t>623425</t>
        </is>
      </c>
      <c r="AW1035" t="inlineStr">
        <is>
          <t>991003068379702656</t>
        </is>
      </c>
      <c r="AX1035" t="inlineStr">
        <is>
          <t>991003068379702656</t>
        </is>
      </c>
      <c r="AY1035" t="inlineStr">
        <is>
          <t>2255709120002656</t>
        </is>
      </c>
      <c r="AZ1035" t="inlineStr">
        <is>
          <t>BOOK</t>
        </is>
      </c>
      <c r="BC1035" t="inlineStr">
        <is>
          <t>32285000903871</t>
        </is>
      </c>
      <c r="BD1035" t="inlineStr">
        <is>
          <t>893428409</t>
        </is>
      </c>
    </row>
    <row r="1036">
      <c r="A1036" t="inlineStr">
        <is>
          <t>No</t>
        </is>
      </c>
      <c r="B1036" t="inlineStr">
        <is>
          <t>BV639.W7 O636 1987</t>
        </is>
      </c>
      <c r="C1036" t="inlineStr">
        <is>
          <t>0                      BV 0639000W  7                  O  636         1987</t>
        </is>
      </c>
      <c r="D1036" t="inlineStr">
        <is>
          <t>Opening the cage : stories of church and gender / edited by Margaret Ann Franklin and Ruth Sturmey Jones.</t>
        </is>
      </c>
      <c r="F1036" t="inlineStr">
        <is>
          <t>No</t>
        </is>
      </c>
      <c r="G1036" t="inlineStr">
        <is>
          <t>1</t>
        </is>
      </c>
      <c r="H1036" t="inlineStr">
        <is>
          <t>No</t>
        </is>
      </c>
      <c r="I1036" t="inlineStr">
        <is>
          <t>No</t>
        </is>
      </c>
      <c r="J1036" t="inlineStr">
        <is>
          <t>0</t>
        </is>
      </c>
      <c r="L1036" t="inlineStr">
        <is>
          <t>Sydney, N.S.W., Australia ; Boston, MA : Allen &amp; Unwin, 1987.</t>
        </is>
      </c>
      <c r="M1036" t="inlineStr">
        <is>
          <t>1987</t>
        </is>
      </c>
      <c r="O1036" t="inlineStr">
        <is>
          <t>eng</t>
        </is>
      </c>
      <c r="P1036" t="inlineStr">
        <is>
          <t xml:space="preserve">at </t>
        </is>
      </c>
      <c r="R1036" t="inlineStr">
        <is>
          <t xml:space="preserve">BV </t>
        </is>
      </c>
      <c r="S1036" t="n">
        <v>9</v>
      </c>
      <c r="T1036" t="n">
        <v>9</v>
      </c>
      <c r="U1036" t="inlineStr">
        <is>
          <t>2002-04-27</t>
        </is>
      </c>
      <c r="V1036" t="inlineStr">
        <is>
          <t>2002-04-27</t>
        </is>
      </c>
      <c r="W1036" t="inlineStr">
        <is>
          <t>1992-01-13</t>
        </is>
      </c>
      <c r="X1036" t="inlineStr">
        <is>
          <t>1992-01-13</t>
        </is>
      </c>
      <c r="Y1036" t="n">
        <v>175</v>
      </c>
      <c r="Z1036" t="n">
        <v>78</v>
      </c>
      <c r="AA1036" t="n">
        <v>78</v>
      </c>
      <c r="AB1036" t="n">
        <v>2</v>
      </c>
      <c r="AC1036" t="n">
        <v>2</v>
      </c>
      <c r="AD1036" t="n">
        <v>5</v>
      </c>
      <c r="AE1036" t="n">
        <v>5</v>
      </c>
      <c r="AF1036" t="n">
        <v>1</v>
      </c>
      <c r="AG1036" t="n">
        <v>1</v>
      </c>
      <c r="AH1036" t="n">
        <v>1</v>
      </c>
      <c r="AI1036" t="n">
        <v>1</v>
      </c>
      <c r="AJ1036" t="n">
        <v>3</v>
      </c>
      <c r="AK1036" t="n">
        <v>3</v>
      </c>
      <c r="AL1036" t="n">
        <v>1</v>
      </c>
      <c r="AM1036" t="n">
        <v>1</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HYPERLINK("https://creighton-primo.hosted.exlibrisgroup.com/primo-explore/search?tab=default_tab&amp;search_scope=EVERYTHING&amp;vid=01CRU&amp;lang=en_US&amp;offset=0&amp;query=any,contains,991001163349702656","Catalog Record")</f>
        <v/>
      </c>
      <c r="AT1036">
        <f>HYPERLINK("http://www.worldcat.org/oclc/28992452","WorldCat Record")</f>
        <v/>
      </c>
      <c r="AU1036" t="inlineStr">
        <is>
          <t>796530242:eng</t>
        </is>
      </c>
      <c r="AV1036" t="inlineStr">
        <is>
          <t>28992452</t>
        </is>
      </c>
      <c r="AW1036" t="inlineStr">
        <is>
          <t>991001163349702656</t>
        </is>
      </c>
      <c r="AX1036" t="inlineStr">
        <is>
          <t>991001163349702656</t>
        </is>
      </c>
      <c r="AY1036" t="inlineStr">
        <is>
          <t>2264327130002656</t>
        </is>
      </c>
      <c r="AZ1036" t="inlineStr">
        <is>
          <t>BOOK</t>
        </is>
      </c>
      <c r="BB1036" t="inlineStr">
        <is>
          <t>9780042000466</t>
        </is>
      </c>
      <c r="BC1036" t="inlineStr">
        <is>
          <t>32285000903897</t>
        </is>
      </c>
      <c r="BD1036" t="inlineStr">
        <is>
          <t>893803399</t>
        </is>
      </c>
    </row>
    <row r="1037">
      <c r="A1037" t="inlineStr">
        <is>
          <t>No</t>
        </is>
      </c>
      <c r="B1037" t="inlineStr">
        <is>
          <t>BV639.Y7 B4</t>
        </is>
      </c>
      <c r="C1037" t="inlineStr">
        <is>
          <t>0                      BV 0639000Y  7                  B  4</t>
        </is>
      </c>
      <c r="D1037" t="inlineStr">
        <is>
          <t>The now generation / [by] Dennis C. Benson.</t>
        </is>
      </c>
      <c r="F1037" t="inlineStr">
        <is>
          <t>No</t>
        </is>
      </c>
      <c r="G1037" t="inlineStr">
        <is>
          <t>1</t>
        </is>
      </c>
      <c r="H1037" t="inlineStr">
        <is>
          <t>No</t>
        </is>
      </c>
      <c r="I1037" t="inlineStr">
        <is>
          <t>No</t>
        </is>
      </c>
      <c r="J1037" t="inlineStr">
        <is>
          <t>0</t>
        </is>
      </c>
      <c r="K1037" t="inlineStr">
        <is>
          <t>Benson, Dennis C.</t>
        </is>
      </c>
      <c r="L1037" t="inlineStr">
        <is>
          <t>Richmond, John Knox Press [1969]</t>
        </is>
      </c>
      <c r="M1037" t="inlineStr">
        <is>
          <t>1969</t>
        </is>
      </c>
      <c r="O1037" t="inlineStr">
        <is>
          <t>eng</t>
        </is>
      </c>
      <c r="P1037" t="inlineStr">
        <is>
          <t>vau</t>
        </is>
      </c>
      <c r="R1037" t="inlineStr">
        <is>
          <t xml:space="preserve">BV </t>
        </is>
      </c>
      <c r="S1037" t="n">
        <v>2</v>
      </c>
      <c r="T1037" t="n">
        <v>2</v>
      </c>
      <c r="U1037" t="inlineStr">
        <is>
          <t>1998-02-11</t>
        </is>
      </c>
      <c r="V1037" t="inlineStr">
        <is>
          <t>1998-02-11</t>
        </is>
      </c>
      <c r="W1037" t="inlineStr">
        <is>
          <t>1992-01-13</t>
        </is>
      </c>
      <c r="X1037" t="inlineStr">
        <is>
          <t>1992-01-13</t>
        </is>
      </c>
      <c r="Y1037" t="n">
        <v>292</v>
      </c>
      <c r="Z1037" t="n">
        <v>270</v>
      </c>
      <c r="AA1037" t="n">
        <v>275</v>
      </c>
      <c r="AB1037" t="n">
        <v>3</v>
      </c>
      <c r="AC1037" t="n">
        <v>3</v>
      </c>
      <c r="AD1037" t="n">
        <v>7</v>
      </c>
      <c r="AE1037" t="n">
        <v>7</v>
      </c>
      <c r="AF1037" t="n">
        <v>2</v>
      </c>
      <c r="AG1037" t="n">
        <v>2</v>
      </c>
      <c r="AH1037" t="n">
        <v>1</v>
      </c>
      <c r="AI1037" t="n">
        <v>1</v>
      </c>
      <c r="AJ1037" t="n">
        <v>4</v>
      </c>
      <c r="AK1037" t="n">
        <v>4</v>
      </c>
      <c r="AL1037" t="n">
        <v>2</v>
      </c>
      <c r="AM1037" t="n">
        <v>2</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HYPERLINK("https://creighton-primo.hosted.exlibrisgroup.com/primo-explore/search?tab=default_tab&amp;search_scope=EVERYTHING&amp;vid=01CRU&amp;lang=en_US&amp;offset=0&amp;query=any,contains,991002296829702656","Catalog Record")</f>
        <v/>
      </c>
      <c r="AT1037">
        <f>HYPERLINK("http://www.worldcat.org/oclc/316093","WorldCat Record")</f>
        <v/>
      </c>
      <c r="AU1037" t="inlineStr">
        <is>
          <t>1386522:eng</t>
        </is>
      </c>
      <c r="AV1037" t="inlineStr">
        <is>
          <t>316093</t>
        </is>
      </c>
      <c r="AW1037" t="inlineStr">
        <is>
          <t>991002296829702656</t>
        </is>
      </c>
      <c r="AX1037" t="inlineStr">
        <is>
          <t>991002296829702656</t>
        </is>
      </c>
      <c r="AY1037" t="inlineStr">
        <is>
          <t>2269682190002656</t>
        </is>
      </c>
      <c r="AZ1037" t="inlineStr">
        <is>
          <t>BOOK</t>
        </is>
      </c>
      <c r="BB1037" t="inlineStr">
        <is>
          <t>9780804219792</t>
        </is>
      </c>
      <c r="BC1037" t="inlineStr">
        <is>
          <t>32285000903921</t>
        </is>
      </c>
      <c r="BD1037" t="inlineStr">
        <is>
          <t>893251049</t>
        </is>
      </c>
    </row>
    <row r="1038">
      <c r="A1038" t="inlineStr">
        <is>
          <t>No</t>
        </is>
      </c>
      <c r="B1038" t="inlineStr">
        <is>
          <t>BV647.3 .C66 2002</t>
        </is>
      </c>
      <c r="C1038" t="inlineStr">
        <is>
          <t>0                      BV 0647300C  66          2002</t>
        </is>
      </c>
      <c r="D1038" t="inlineStr">
        <is>
          <t>Community formation in the early church and in the church today / Richard N. Longenecker, editor.</t>
        </is>
      </c>
      <c r="F1038" t="inlineStr">
        <is>
          <t>No</t>
        </is>
      </c>
      <c r="G1038" t="inlineStr">
        <is>
          <t>1</t>
        </is>
      </c>
      <c r="H1038" t="inlineStr">
        <is>
          <t>No</t>
        </is>
      </c>
      <c r="I1038" t="inlineStr">
        <is>
          <t>No</t>
        </is>
      </c>
      <c r="J1038" t="inlineStr">
        <is>
          <t>0</t>
        </is>
      </c>
      <c r="L1038" t="inlineStr">
        <is>
          <t>Peabody, Mass. : Hendrickson Publishers, c2002.</t>
        </is>
      </c>
      <c r="M1038" t="inlineStr">
        <is>
          <t>2002</t>
        </is>
      </c>
      <c r="O1038" t="inlineStr">
        <is>
          <t>eng</t>
        </is>
      </c>
      <c r="P1038" t="inlineStr">
        <is>
          <t>mau</t>
        </is>
      </c>
      <c r="R1038" t="inlineStr">
        <is>
          <t xml:space="preserve">BV </t>
        </is>
      </c>
      <c r="S1038" t="n">
        <v>3</v>
      </c>
      <c r="T1038" t="n">
        <v>3</v>
      </c>
      <c r="U1038" t="inlineStr">
        <is>
          <t>2004-11-21</t>
        </is>
      </c>
      <c r="V1038" t="inlineStr">
        <is>
          <t>2004-11-21</t>
        </is>
      </c>
      <c r="W1038" t="inlineStr">
        <is>
          <t>2004-02-03</t>
        </is>
      </c>
      <c r="X1038" t="inlineStr">
        <is>
          <t>2004-02-03</t>
        </is>
      </c>
      <c r="Y1038" t="n">
        <v>225</v>
      </c>
      <c r="Z1038" t="n">
        <v>165</v>
      </c>
      <c r="AA1038" t="n">
        <v>166</v>
      </c>
      <c r="AB1038" t="n">
        <v>1</v>
      </c>
      <c r="AC1038" t="n">
        <v>1</v>
      </c>
      <c r="AD1038" t="n">
        <v>15</v>
      </c>
      <c r="AE1038" t="n">
        <v>15</v>
      </c>
      <c r="AF1038" t="n">
        <v>6</v>
      </c>
      <c r="AG1038" t="n">
        <v>6</v>
      </c>
      <c r="AH1038" t="n">
        <v>5</v>
      </c>
      <c r="AI1038" t="n">
        <v>5</v>
      </c>
      <c r="AJ1038" t="n">
        <v>7</v>
      </c>
      <c r="AK1038" t="n">
        <v>7</v>
      </c>
      <c r="AL1038" t="n">
        <v>0</v>
      </c>
      <c r="AM1038" t="n">
        <v>0</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HYPERLINK("https://creighton-primo.hosted.exlibrisgroup.com/primo-explore/search?tab=default_tab&amp;search_scope=EVERYTHING&amp;vid=01CRU&amp;lang=en_US&amp;offset=0&amp;query=any,contains,991004217569702656","Catalog Record")</f>
        <v/>
      </c>
      <c r="AT1038">
        <f>HYPERLINK("http://www.worldcat.org/oclc/50802620","WorldCat Record")</f>
        <v/>
      </c>
      <c r="AU1038" t="inlineStr">
        <is>
          <t>778316:eng</t>
        </is>
      </c>
      <c r="AV1038" t="inlineStr">
        <is>
          <t>50802620</t>
        </is>
      </c>
      <c r="AW1038" t="inlineStr">
        <is>
          <t>991004217569702656</t>
        </is>
      </c>
      <c r="AX1038" t="inlineStr">
        <is>
          <t>991004217569702656</t>
        </is>
      </c>
      <c r="AY1038" t="inlineStr">
        <is>
          <t>2270278730002656</t>
        </is>
      </c>
      <c r="AZ1038" t="inlineStr">
        <is>
          <t>BOOK</t>
        </is>
      </c>
      <c r="BB1038" t="inlineStr">
        <is>
          <t>9781565637184</t>
        </is>
      </c>
      <c r="BC1038" t="inlineStr">
        <is>
          <t>32285004637277</t>
        </is>
      </c>
      <c r="BD1038" t="inlineStr">
        <is>
          <t>893875830</t>
        </is>
      </c>
    </row>
    <row r="1039">
      <c r="A1039" t="inlineStr">
        <is>
          <t>No</t>
        </is>
      </c>
      <c r="B1039" t="inlineStr">
        <is>
          <t>BV648 .D58</t>
        </is>
      </c>
      <c r="C1039" t="inlineStr">
        <is>
          <t>0                      BV 0648000D  58</t>
        </is>
      </c>
      <c r="D1039" t="inlineStr">
        <is>
          <t>Jurisdiction in the early church, Episcopal and papal / Dom Gregory Dix.</t>
        </is>
      </c>
      <c r="F1039" t="inlineStr">
        <is>
          <t>No</t>
        </is>
      </c>
      <c r="G1039" t="inlineStr">
        <is>
          <t>1</t>
        </is>
      </c>
      <c r="H1039" t="inlineStr">
        <is>
          <t>No</t>
        </is>
      </c>
      <c r="I1039" t="inlineStr">
        <is>
          <t>No</t>
        </is>
      </c>
      <c r="J1039" t="inlineStr">
        <is>
          <t>0</t>
        </is>
      </c>
      <c r="K1039" t="inlineStr">
        <is>
          <t>Dix, Gregory.</t>
        </is>
      </c>
      <c r="L1039" t="inlineStr">
        <is>
          <t>London : Faith House, 1975, c1938.</t>
        </is>
      </c>
      <c r="M1039" t="inlineStr">
        <is>
          <t>1975</t>
        </is>
      </c>
      <c r="O1039" t="inlineStr">
        <is>
          <t>eng</t>
        </is>
      </c>
      <c r="P1039" t="inlineStr">
        <is>
          <t>enk</t>
        </is>
      </c>
      <c r="R1039" t="inlineStr">
        <is>
          <t xml:space="preserve">BV </t>
        </is>
      </c>
      <c r="S1039" t="n">
        <v>6</v>
      </c>
      <c r="T1039" t="n">
        <v>6</v>
      </c>
      <c r="U1039" t="inlineStr">
        <is>
          <t>1997-01-24</t>
        </is>
      </c>
      <c r="V1039" t="inlineStr">
        <is>
          <t>1997-01-24</t>
        </is>
      </c>
      <c r="W1039" t="inlineStr">
        <is>
          <t>1992-01-13</t>
        </is>
      </c>
      <c r="X1039" t="inlineStr">
        <is>
          <t>1992-01-13</t>
        </is>
      </c>
      <c r="Y1039" t="n">
        <v>95</v>
      </c>
      <c r="Z1039" t="n">
        <v>75</v>
      </c>
      <c r="AA1039" t="n">
        <v>94</v>
      </c>
      <c r="AB1039" t="n">
        <v>3</v>
      </c>
      <c r="AC1039" t="n">
        <v>3</v>
      </c>
      <c r="AD1039" t="n">
        <v>7</v>
      </c>
      <c r="AE1039" t="n">
        <v>7</v>
      </c>
      <c r="AF1039" t="n">
        <v>0</v>
      </c>
      <c r="AG1039" t="n">
        <v>0</v>
      </c>
      <c r="AH1039" t="n">
        <v>2</v>
      </c>
      <c r="AI1039" t="n">
        <v>2</v>
      </c>
      <c r="AJ1039" t="n">
        <v>5</v>
      </c>
      <c r="AK1039" t="n">
        <v>5</v>
      </c>
      <c r="AL1039" t="n">
        <v>1</v>
      </c>
      <c r="AM1039" t="n">
        <v>1</v>
      </c>
      <c r="AN1039" t="n">
        <v>0</v>
      </c>
      <c r="AO1039" t="n">
        <v>0</v>
      </c>
      <c r="AP1039" t="inlineStr">
        <is>
          <t>No</t>
        </is>
      </c>
      <c r="AQ1039" t="inlineStr">
        <is>
          <t>Yes</t>
        </is>
      </c>
      <c r="AR1039">
        <f>HYPERLINK("http://catalog.hathitrust.org/Record/006018565","HathiTrust Record")</f>
        <v/>
      </c>
      <c r="AS1039">
        <f>HYPERLINK("https://creighton-primo.hosted.exlibrisgroup.com/primo-explore/search?tab=default_tab&amp;search_scope=EVERYTHING&amp;vid=01CRU&amp;lang=en_US&amp;offset=0&amp;query=any,contains,991004276499702656","Catalog Record")</f>
        <v/>
      </c>
      <c r="AT1039">
        <f>HYPERLINK("http://www.worldcat.org/oclc/2894825","WorldCat Record")</f>
        <v/>
      </c>
      <c r="AU1039" t="inlineStr">
        <is>
          <t>5502065:eng</t>
        </is>
      </c>
      <c r="AV1039" t="inlineStr">
        <is>
          <t>2894825</t>
        </is>
      </c>
      <c r="AW1039" t="inlineStr">
        <is>
          <t>991004276499702656</t>
        </is>
      </c>
      <c r="AX1039" t="inlineStr">
        <is>
          <t>991004276499702656</t>
        </is>
      </c>
      <c r="AY1039" t="inlineStr">
        <is>
          <t>2269283970002656</t>
        </is>
      </c>
      <c r="AZ1039" t="inlineStr">
        <is>
          <t>BOOK</t>
        </is>
      </c>
      <c r="BC1039" t="inlineStr">
        <is>
          <t>32285000903947</t>
        </is>
      </c>
      <c r="BD1039" t="inlineStr">
        <is>
          <t>893442423</t>
        </is>
      </c>
    </row>
    <row r="1040">
      <c r="A1040" t="inlineStr">
        <is>
          <t>No</t>
        </is>
      </c>
      <c r="B1040" t="inlineStr">
        <is>
          <t>BV648 .H32</t>
        </is>
      </c>
      <c r="C1040" t="inlineStr">
        <is>
          <t>0                      BV 0648000H  32</t>
        </is>
      </c>
      <c r="D1040" t="inlineStr">
        <is>
          <t>The constitution &amp; law of the church in the first two centuries / by Adolf Harnack ; translated by F. L. Pogson, M. A. Edited by H. D. A. Major.</t>
        </is>
      </c>
      <c r="F1040" t="inlineStr">
        <is>
          <t>No</t>
        </is>
      </c>
      <c r="G1040" t="inlineStr">
        <is>
          <t>1</t>
        </is>
      </c>
      <c r="H1040" t="inlineStr">
        <is>
          <t>No</t>
        </is>
      </c>
      <c r="I1040" t="inlineStr">
        <is>
          <t>No</t>
        </is>
      </c>
      <c r="J1040" t="inlineStr">
        <is>
          <t>0</t>
        </is>
      </c>
      <c r="K1040" t="inlineStr">
        <is>
          <t>Harnack, Adolf von, 1851-1930.</t>
        </is>
      </c>
      <c r="L1040" t="inlineStr">
        <is>
          <t>London, Williams &amp; Norgate; New York, G. P. Putnam's sons, 1910.</t>
        </is>
      </c>
      <c r="M1040" t="inlineStr">
        <is>
          <t>1910</t>
        </is>
      </c>
      <c r="O1040" t="inlineStr">
        <is>
          <t>eng</t>
        </is>
      </c>
      <c r="P1040" t="inlineStr">
        <is>
          <t xml:space="preserve">xx </t>
        </is>
      </c>
      <c r="Q1040" t="inlineStr">
        <is>
          <t>Crown theological library, vol. XXXI</t>
        </is>
      </c>
      <c r="R1040" t="inlineStr">
        <is>
          <t xml:space="preserve">BV </t>
        </is>
      </c>
      <c r="S1040" t="n">
        <v>1</v>
      </c>
      <c r="T1040" t="n">
        <v>1</v>
      </c>
      <c r="U1040" t="inlineStr">
        <is>
          <t>2006-11-16</t>
        </is>
      </c>
      <c r="V1040" t="inlineStr">
        <is>
          <t>2006-11-16</t>
        </is>
      </c>
      <c r="W1040" t="inlineStr">
        <is>
          <t>1992-01-13</t>
        </is>
      </c>
      <c r="X1040" t="inlineStr">
        <is>
          <t>1992-01-13</t>
        </is>
      </c>
      <c r="Y1040" t="n">
        <v>258</v>
      </c>
      <c r="Z1040" t="n">
        <v>196</v>
      </c>
      <c r="AA1040" t="n">
        <v>358</v>
      </c>
      <c r="AB1040" t="n">
        <v>1</v>
      </c>
      <c r="AC1040" t="n">
        <v>4</v>
      </c>
      <c r="AD1040" t="n">
        <v>13</v>
      </c>
      <c r="AE1040" t="n">
        <v>23</v>
      </c>
      <c r="AF1040" t="n">
        <v>4</v>
      </c>
      <c r="AG1040" t="n">
        <v>8</v>
      </c>
      <c r="AH1040" t="n">
        <v>3</v>
      </c>
      <c r="AI1040" t="n">
        <v>4</v>
      </c>
      <c r="AJ1040" t="n">
        <v>8</v>
      </c>
      <c r="AK1040" t="n">
        <v>9</v>
      </c>
      <c r="AL1040" t="n">
        <v>0</v>
      </c>
      <c r="AM1040" t="n">
        <v>3</v>
      </c>
      <c r="AN1040" t="n">
        <v>0</v>
      </c>
      <c r="AO1040" t="n">
        <v>2</v>
      </c>
      <c r="AP1040" t="inlineStr">
        <is>
          <t>Yes</t>
        </is>
      </c>
      <c r="AQ1040" t="inlineStr">
        <is>
          <t>No</t>
        </is>
      </c>
      <c r="AR1040">
        <f>HYPERLINK("http://catalog.hathitrust.org/Record/001932586","HathiTrust Record")</f>
        <v/>
      </c>
      <c r="AS1040">
        <f>HYPERLINK("https://creighton-primo.hosted.exlibrisgroup.com/primo-explore/search?tab=default_tab&amp;search_scope=EVERYTHING&amp;vid=01CRU&amp;lang=en_US&amp;offset=0&amp;query=any,contains,991004118179702656","Catalog Record")</f>
        <v/>
      </c>
      <c r="AT1040">
        <f>HYPERLINK("http://www.worldcat.org/oclc/2422335","WorldCat Record")</f>
        <v/>
      </c>
      <c r="AU1040" t="inlineStr">
        <is>
          <t>2908427211:eng</t>
        </is>
      </c>
      <c r="AV1040" t="inlineStr">
        <is>
          <t>2422335</t>
        </is>
      </c>
      <c r="AW1040" t="inlineStr">
        <is>
          <t>991004118179702656</t>
        </is>
      </c>
      <c r="AX1040" t="inlineStr">
        <is>
          <t>991004118179702656</t>
        </is>
      </c>
      <c r="AY1040" t="inlineStr">
        <is>
          <t>2266119990002656</t>
        </is>
      </c>
      <c r="AZ1040" t="inlineStr">
        <is>
          <t>BOOK</t>
        </is>
      </c>
      <c r="BC1040" t="inlineStr">
        <is>
          <t>32285000903954</t>
        </is>
      </c>
      <c r="BD1040" t="inlineStr">
        <is>
          <t>893599454</t>
        </is>
      </c>
    </row>
    <row r="1041">
      <c r="A1041" t="inlineStr">
        <is>
          <t>No</t>
        </is>
      </c>
      <c r="B1041" t="inlineStr">
        <is>
          <t>BV648 .H64 1980</t>
        </is>
      </c>
      <c r="C1041" t="inlineStr">
        <is>
          <t>0                      BV 0648000H  64          1980</t>
        </is>
      </c>
      <c r="D1041" t="inlineStr">
        <is>
          <t>Paul and power : the structure of authority in the primitive church as reflected in the Pauline epistles / Bengt Holmberg.</t>
        </is>
      </c>
      <c r="F1041" t="inlineStr">
        <is>
          <t>No</t>
        </is>
      </c>
      <c r="G1041" t="inlineStr">
        <is>
          <t>1</t>
        </is>
      </c>
      <c r="H1041" t="inlineStr">
        <is>
          <t>No</t>
        </is>
      </c>
      <c r="I1041" t="inlineStr">
        <is>
          <t>No</t>
        </is>
      </c>
      <c r="J1041" t="inlineStr">
        <is>
          <t>0</t>
        </is>
      </c>
      <c r="K1041" t="inlineStr">
        <is>
          <t>Holmberg, Bengt, 1942-</t>
        </is>
      </c>
      <c r="L1041" t="inlineStr">
        <is>
          <t>Philadelphia : Fortress Press, 1980, c1978.</t>
        </is>
      </c>
      <c r="M1041" t="inlineStr">
        <is>
          <t>1980</t>
        </is>
      </c>
      <c r="N1041" t="inlineStr">
        <is>
          <t>1st Fortress Press ed.</t>
        </is>
      </c>
      <c r="O1041" t="inlineStr">
        <is>
          <t>eng</t>
        </is>
      </c>
      <c r="P1041" t="inlineStr">
        <is>
          <t>pau</t>
        </is>
      </c>
      <c r="R1041" t="inlineStr">
        <is>
          <t xml:space="preserve">BV </t>
        </is>
      </c>
      <c r="S1041" t="n">
        <v>7</v>
      </c>
      <c r="T1041" t="n">
        <v>7</v>
      </c>
      <c r="U1041" t="inlineStr">
        <is>
          <t>1998-08-31</t>
        </is>
      </c>
      <c r="V1041" t="inlineStr">
        <is>
          <t>1998-08-31</t>
        </is>
      </c>
      <c r="W1041" t="inlineStr">
        <is>
          <t>1992-01-13</t>
        </is>
      </c>
      <c r="X1041" t="inlineStr">
        <is>
          <t>1992-01-13</t>
        </is>
      </c>
      <c r="Y1041" t="n">
        <v>389</v>
      </c>
      <c r="Z1041" t="n">
        <v>329</v>
      </c>
      <c r="AA1041" t="n">
        <v>332</v>
      </c>
      <c r="AB1041" t="n">
        <v>6</v>
      </c>
      <c r="AC1041" t="n">
        <v>6</v>
      </c>
      <c r="AD1041" t="n">
        <v>33</v>
      </c>
      <c r="AE1041" t="n">
        <v>33</v>
      </c>
      <c r="AF1041" t="n">
        <v>13</v>
      </c>
      <c r="AG1041" t="n">
        <v>13</v>
      </c>
      <c r="AH1041" t="n">
        <v>5</v>
      </c>
      <c r="AI1041" t="n">
        <v>5</v>
      </c>
      <c r="AJ1041" t="n">
        <v>21</v>
      </c>
      <c r="AK1041" t="n">
        <v>21</v>
      </c>
      <c r="AL1041" t="n">
        <v>5</v>
      </c>
      <c r="AM1041" t="n">
        <v>5</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HYPERLINK("https://creighton-primo.hosted.exlibrisgroup.com/primo-explore/search?tab=default_tab&amp;search_scope=EVERYTHING&amp;vid=01CRU&amp;lang=en_US&amp;offset=0&amp;query=any,contains,991004894819702656","Catalog Record")</f>
        <v/>
      </c>
      <c r="AT1041">
        <f>HYPERLINK("http://www.worldcat.org/oclc/5892503","WorldCat Record")</f>
        <v/>
      </c>
      <c r="AU1041" t="inlineStr">
        <is>
          <t>5576446308:eng</t>
        </is>
      </c>
      <c r="AV1041" t="inlineStr">
        <is>
          <t>5892503</t>
        </is>
      </c>
      <c r="AW1041" t="inlineStr">
        <is>
          <t>991004894819702656</t>
        </is>
      </c>
      <c r="AX1041" t="inlineStr">
        <is>
          <t>991004894819702656</t>
        </is>
      </c>
      <c r="AY1041" t="inlineStr">
        <is>
          <t>2265543080002656</t>
        </is>
      </c>
      <c r="AZ1041" t="inlineStr">
        <is>
          <t>BOOK</t>
        </is>
      </c>
      <c r="BB1041" t="inlineStr">
        <is>
          <t>9780800606343</t>
        </is>
      </c>
      <c r="BC1041" t="inlineStr">
        <is>
          <t>32285000903962</t>
        </is>
      </c>
      <c r="BD1041" t="inlineStr">
        <is>
          <t>893883077</t>
        </is>
      </c>
    </row>
    <row r="1042">
      <c r="A1042" t="inlineStr">
        <is>
          <t>No</t>
        </is>
      </c>
      <c r="B1042" t="inlineStr">
        <is>
          <t>BV648 .M6</t>
        </is>
      </c>
      <c r="C1042" t="inlineStr">
        <is>
          <t>0                      BV 0648000M  6</t>
        </is>
      </c>
      <c r="D1042" t="inlineStr">
        <is>
          <t>The origin and evolution of the priesthood : a return to the sources / [by] James A. Mohler.</t>
        </is>
      </c>
      <c r="F1042" t="inlineStr">
        <is>
          <t>No</t>
        </is>
      </c>
      <c r="G1042" t="inlineStr">
        <is>
          <t>1</t>
        </is>
      </c>
      <c r="H1042" t="inlineStr">
        <is>
          <t>No</t>
        </is>
      </c>
      <c r="I1042" t="inlineStr">
        <is>
          <t>No</t>
        </is>
      </c>
      <c r="J1042" t="inlineStr">
        <is>
          <t>0</t>
        </is>
      </c>
      <c r="K1042" t="inlineStr">
        <is>
          <t>Mohler, James A.</t>
        </is>
      </c>
      <c r="L1042" t="inlineStr">
        <is>
          <t>Staten Island, N.Y., Alba House [1970]</t>
        </is>
      </c>
      <c r="M1042" t="inlineStr">
        <is>
          <t>1970</t>
        </is>
      </c>
      <c r="O1042" t="inlineStr">
        <is>
          <t>eng</t>
        </is>
      </c>
      <c r="P1042" t="inlineStr">
        <is>
          <t>nyu</t>
        </is>
      </c>
      <c r="R1042" t="inlineStr">
        <is>
          <t xml:space="preserve">BV </t>
        </is>
      </c>
      <c r="S1042" t="n">
        <v>3</v>
      </c>
      <c r="T1042" t="n">
        <v>3</v>
      </c>
      <c r="U1042" t="inlineStr">
        <is>
          <t>2002-09-24</t>
        </is>
      </c>
      <c r="V1042" t="inlineStr">
        <is>
          <t>2002-09-24</t>
        </is>
      </c>
      <c r="W1042" t="inlineStr">
        <is>
          <t>1990-05-24</t>
        </is>
      </c>
      <c r="X1042" t="inlineStr">
        <is>
          <t>1990-05-24</t>
        </is>
      </c>
      <c r="Y1042" t="n">
        <v>229</v>
      </c>
      <c r="Z1042" t="n">
        <v>191</v>
      </c>
      <c r="AA1042" t="n">
        <v>200</v>
      </c>
      <c r="AB1042" t="n">
        <v>2</v>
      </c>
      <c r="AC1042" t="n">
        <v>2</v>
      </c>
      <c r="AD1042" t="n">
        <v>29</v>
      </c>
      <c r="AE1042" t="n">
        <v>29</v>
      </c>
      <c r="AF1042" t="n">
        <v>9</v>
      </c>
      <c r="AG1042" t="n">
        <v>9</v>
      </c>
      <c r="AH1042" t="n">
        <v>8</v>
      </c>
      <c r="AI1042" t="n">
        <v>8</v>
      </c>
      <c r="AJ1042" t="n">
        <v>20</v>
      </c>
      <c r="AK1042" t="n">
        <v>20</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HYPERLINK("https://creighton-primo.hosted.exlibrisgroup.com/primo-explore/search?tab=default_tab&amp;search_scope=EVERYTHING&amp;vid=01CRU&amp;lang=en_US&amp;offset=0&amp;query=any,contains,991000390229702656","Catalog Record")</f>
        <v/>
      </c>
      <c r="AT1042">
        <f>HYPERLINK("http://www.worldcat.org/oclc/72777","WorldCat Record")</f>
        <v/>
      </c>
      <c r="AU1042" t="inlineStr">
        <is>
          <t>422315314:eng</t>
        </is>
      </c>
      <c r="AV1042" t="inlineStr">
        <is>
          <t>72777</t>
        </is>
      </c>
      <c r="AW1042" t="inlineStr">
        <is>
          <t>991000390229702656</t>
        </is>
      </c>
      <c r="AX1042" t="inlineStr">
        <is>
          <t>991000390229702656</t>
        </is>
      </c>
      <c r="AY1042" t="inlineStr">
        <is>
          <t>2271646340002656</t>
        </is>
      </c>
      <c r="AZ1042" t="inlineStr">
        <is>
          <t>BOOK</t>
        </is>
      </c>
      <c r="BB1042" t="inlineStr">
        <is>
          <t>9780818901669</t>
        </is>
      </c>
      <c r="BC1042" t="inlineStr">
        <is>
          <t>32285000166388</t>
        </is>
      </c>
      <c r="BD1042" t="inlineStr">
        <is>
          <t>893796597</t>
        </is>
      </c>
    </row>
    <row r="1043">
      <c r="A1043" t="inlineStr">
        <is>
          <t>No</t>
        </is>
      </c>
      <c r="B1043" t="inlineStr">
        <is>
          <t>BV649 .H78 1965</t>
        </is>
      </c>
      <c r="C1043" t="inlineStr">
        <is>
          <t>0                      BV 0649000H  78          1965</t>
        </is>
      </c>
      <c r="D1043" t="inlineStr">
        <is>
          <t>Of the laws of ecclesiastical polity / by Richard Hooker.</t>
        </is>
      </c>
      <c r="E1043" t="inlineStr">
        <is>
          <t>V.1</t>
        </is>
      </c>
      <c r="F1043" t="inlineStr">
        <is>
          <t>Yes</t>
        </is>
      </c>
      <c r="G1043" t="inlineStr">
        <is>
          <t>1</t>
        </is>
      </c>
      <c r="H1043" t="inlineStr">
        <is>
          <t>No</t>
        </is>
      </c>
      <c r="I1043" t="inlineStr">
        <is>
          <t>No</t>
        </is>
      </c>
      <c r="J1043" t="inlineStr">
        <is>
          <t>0</t>
        </is>
      </c>
      <c r="K1043" t="inlineStr">
        <is>
          <t>Hooker, Richard, 1553 or 1554-1600.</t>
        </is>
      </c>
      <c r="L1043" t="inlineStr">
        <is>
          <t>London : J. M. Dent &amp; sons, ltd. ; New York : E. P. Dutton &amp; co., [1965,6̓4]</t>
        </is>
      </c>
      <c r="M1043" t="inlineStr">
        <is>
          <t>1965</t>
        </is>
      </c>
      <c r="O1043" t="inlineStr">
        <is>
          <t>eng</t>
        </is>
      </c>
      <c r="P1043" t="inlineStr">
        <is>
          <t>enk</t>
        </is>
      </c>
      <c r="Q1043" t="inlineStr">
        <is>
          <t>Everyman's library. Theology &amp; philosophy ; no. 201-202</t>
        </is>
      </c>
      <c r="R1043" t="inlineStr">
        <is>
          <t xml:space="preserve">BV </t>
        </is>
      </c>
      <c r="S1043" t="n">
        <v>7</v>
      </c>
      <c r="T1043" t="n">
        <v>14</v>
      </c>
      <c r="U1043" t="inlineStr">
        <is>
          <t>2000-01-24</t>
        </is>
      </c>
      <c r="V1043" t="inlineStr">
        <is>
          <t>2000-01-24</t>
        </is>
      </c>
      <c r="W1043" t="inlineStr">
        <is>
          <t>1992-04-27</t>
        </is>
      </c>
      <c r="X1043" t="inlineStr">
        <is>
          <t>1992-04-27</t>
        </is>
      </c>
      <c r="Y1043" t="n">
        <v>107</v>
      </c>
      <c r="Z1043" t="n">
        <v>86</v>
      </c>
      <c r="AA1043" t="n">
        <v>692</v>
      </c>
      <c r="AB1043" t="n">
        <v>1</v>
      </c>
      <c r="AC1043" t="n">
        <v>8</v>
      </c>
      <c r="AD1043" t="n">
        <v>3</v>
      </c>
      <c r="AE1043" t="n">
        <v>37</v>
      </c>
      <c r="AF1043" t="n">
        <v>1</v>
      </c>
      <c r="AG1043" t="n">
        <v>13</v>
      </c>
      <c r="AH1043" t="n">
        <v>0</v>
      </c>
      <c r="AI1043" t="n">
        <v>7</v>
      </c>
      <c r="AJ1043" t="n">
        <v>2</v>
      </c>
      <c r="AK1043" t="n">
        <v>16</v>
      </c>
      <c r="AL1043" t="n">
        <v>0</v>
      </c>
      <c r="AM1043" t="n">
        <v>6</v>
      </c>
      <c r="AN1043" t="n">
        <v>0</v>
      </c>
      <c r="AO1043" t="n">
        <v>3</v>
      </c>
      <c r="AP1043" t="inlineStr">
        <is>
          <t>No</t>
        </is>
      </c>
      <c r="AQ1043" t="inlineStr">
        <is>
          <t>Yes</t>
        </is>
      </c>
      <c r="AR1043">
        <f>HYPERLINK("http://catalog.hathitrust.org/Record/011440222","HathiTrust Record")</f>
        <v/>
      </c>
      <c r="AS1043">
        <f>HYPERLINK("https://creighton-primo.hosted.exlibrisgroup.com/primo-explore/search?tab=default_tab&amp;search_scope=EVERYTHING&amp;vid=01CRU&amp;lang=en_US&amp;offset=0&amp;query=any,contains,991004922089702656","Catalog Record")</f>
        <v/>
      </c>
      <c r="AT1043">
        <f>HYPERLINK("http://www.worldcat.org/oclc/6053614","WorldCat Record")</f>
        <v/>
      </c>
      <c r="AU1043" t="inlineStr">
        <is>
          <t>5342691608:eng</t>
        </is>
      </c>
      <c r="AV1043" t="inlineStr">
        <is>
          <t>6053614</t>
        </is>
      </c>
      <c r="AW1043" t="inlineStr">
        <is>
          <t>991004922089702656</t>
        </is>
      </c>
      <c r="AX1043" t="inlineStr">
        <is>
          <t>991004922089702656</t>
        </is>
      </c>
      <c r="AY1043" t="inlineStr">
        <is>
          <t>2254933800002656</t>
        </is>
      </c>
      <c r="AZ1043" t="inlineStr">
        <is>
          <t>BOOK</t>
        </is>
      </c>
      <c r="BC1043" t="inlineStr">
        <is>
          <t>32285001101236</t>
        </is>
      </c>
      <c r="BD1043" t="inlineStr">
        <is>
          <t>893688362</t>
        </is>
      </c>
    </row>
    <row r="1044">
      <c r="A1044" t="inlineStr">
        <is>
          <t>No</t>
        </is>
      </c>
      <c r="B1044" t="inlineStr">
        <is>
          <t>BV649 .H78 1965</t>
        </is>
      </c>
      <c r="C1044" t="inlineStr">
        <is>
          <t>0                      BV 0649000H  78          1965</t>
        </is>
      </c>
      <c r="D1044" t="inlineStr">
        <is>
          <t>Of the laws of ecclesiastical polity / by Richard Hooker.</t>
        </is>
      </c>
      <c r="E1044" t="inlineStr">
        <is>
          <t>V.2</t>
        </is>
      </c>
      <c r="F1044" t="inlineStr">
        <is>
          <t>Yes</t>
        </is>
      </c>
      <c r="G1044" t="inlineStr">
        <is>
          <t>1</t>
        </is>
      </c>
      <c r="H1044" t="inlineStr">
        <is>
          <t>No</t>
        </is>
      </c>
      <c r="I1044" t="inlineStr">
        <is>
          <t>No</t>
        </is>
      </c>
      <c r="J1044" t="inlineStr">
        <is>
          <t>0</t>
        </is>
      </c>
      <c r="K1044" t="inlineStr">
        <is>
          <t>Hooker, Richard, 1553 or 1554-1600.</t>
        </is>
      </c>
      <c r="L1044" t="inlineStr">
        <is>
          <t>London : J. M. Dent &amp; sons, ltd. ; New York : E. P. Dutton &amp; co., [1965,6̓4]</t>
        </is>
      </c>
      <c r="M1044" t="inlineStr">
        <is>
          <t>1965</t>
        </is>
      </c>
      <c r="O1044" t="inlineStr">
        <is>
          <t>eng</t>
        </is>
      </c>
      <c r="P1044" t="inlineStr">
        <is>
          <t>enk</t>
        </is>
      </c>
      <c r="Q1044" t="inlineStr">
        <is>
          <t>Everyman's library. Theology &amp; philosophy ; no. 201-202</t>
        </is>
      </c>
      <c r="R1044" t="inlineStr">
        <is>
          <t xml:space="preserve">BV </t>
        </is>
      </c>
      <c r="S1044" t="n">
        <v>7</v>
      </c>
      <c r="T1044" t="n">
        <v>14</v>
      </c>
      <c r="U1044" t="inlineStr">
        <is>
          <t>2000-01-24</t>
        </is>
      </c>
      <c r="V1044" t="inlineStr">
        <is>
          <t>2000-01-24</t>
        </is>
      </c>
      <c r="W1044" t="inlineStr">
        <is>
          <t>1992-04-27</t>
        </is>
      </c>
      <c r="X1044" t="inlineStr">
        <is>
          <t>1992-04-27</t>
        </is>
      </c>
      <c r="Y1044" t="n">
        <v>107</v>
      </c>
      <c r="Z1044" t="n">
        <v>86</v>
      </c>
      <c r="AA1044" t="n">
        <v>692</v>
      </c>
      <c r="AB1044" t="n">
        <v>1</v>
      </c>
      <c r="AC1044" t="n">
        <v>8</v>
      </c>
      <c r="AD1044" t="n">
        <v>3</v>
      </c>
      <c r="AE1044" t="n">
        <v>37</v>
      </c>
      <c r="AF1044" t="n">
        <v>1</v>
      </c>
      <c r="AG1044" t="n">
        <v>13</v>
      </c>
      <c r="AH1044" t="n">
        <v>0</v>
      </c>
      <c r="AI1044" t="n">
        <v>7</v>
      </c>
      <c r="AJ1044" t="n">
        <v>2</v>
      </c>
      <c r="AK1044" t="n">
        <v>16</v>
      </c>
      <c r="AL1044" t="n">
        <v>0</v>
      </c>
      <c r="AM1044" t="n">
        <v>6</v>
      </c>
      <c r="AN1044" t="n">
        <v>0</v>
      </c>
      <c r="AO1044" t="n">
        <v>3</v>
      </c>
      <c r="AP1044" t="inlineStr">
        <is>
          <t>No</t>
        </is>
      </c>
      <c r="AQ1044" t="inlineStr">
        <is>
          <t>Yes</t>
        </is>
      </c>
      <c r="AR1044">
        <f>HYPERLINK("http://catalog.hathitrust.org/Record/011440222","HathiTrust Record")</f>
        <v/>
      </c>
      <c r="AS1044">
        <f>HYPERLINK("https://creighton-primo.hosted.exlibrisgroup.com/primo-explore/search?tab=default_tab&amp;search_scope=EVERYTHING&amp;vid=01CRU&amp;lang=en_US&amp;offset=0&amp;query=any,contains,991004922089702656","Catalog Record")</f>
        <v/>
      </c>
      <c r="AT1044">
        <f>HYPERLINK("http://www.worldcat.org/oclc/6053614","WorldCat Record")</f>
        <v/>
      </c>
      <c r="AU1044" t="inlineStr">
        <is>
          <t>5342691608:eng</t>
        </is>
      </c>
      <c r="AV1044" t="inlineStr">
        <is>
          <t>6053614</t>
        </is>
      </c>
      <c r="AW1044" t="inlineStr">
        <is>
          <t>991004922089702656</t>
        </is>
      </c>
      <c r="AX1044" t="inlineStr">
        <is>
          <t>991004922089702656</t>
        </is>
      </c>
      <c r="AY1044" t="inlineStr">
        <is>
          <t>2254933800002656</t>
        </is>
      </c>
      <c r="AZ1044" t="inlineStr">
        <is>
          <t>BOOK</t>
        </is>
      </c>
      <c r="BC1044" t="inlineStr">
        <is>
          <t>32285001101244</t>
        </is>
      </c>
      <c r="BD1044" t="inlineStr">
        <is>
          <t>893719558</t>
        </is>
      </c>
    </row>
    <row r="1045">
      <c r="A1045" t="inlineStr">
        <is>
          <t>No</t>
        </is>
      </c>
      <c r="B1045" t="inlineStr">
        <is>
          <t>BV649 .H825 1989</t>
        </is>
      </c>
      <c r="C1045" t="inlineStr">
        <is>
          <t>0                      BV 0649000H  825         1989</t>
        </is>
      </c>
      <c r="D1045" t="inlineStr">
        <is>
          <t>Of the laws of ecclesiastical polity : preface, book I, book VIII / Richard Hooker ; edited by Arthur Stephen McGrade.</t>
        </is>
      </c>
      <c r="F1045" t="inlineStr">
        <is>
          <t>No</t>
        </is>
      </c>
      <c r="G1045" t="inlineStr">
        <is>
          <t>1</t>
        </is>
      </c>
      <c r="H1045" t="inlineStr">
        <is>
          <t>No</t>
        </is>
      </c>
      <c r="I1045" t="inlineStr">
        <is>
          <t>No</t>
        </is>
      </c>
      <c r="J1045" t="inlineStr">
        <is>
          <t>0</t>
        </is>
      </c>
      <c r="K1045" t="inlineStr">
        <is>
          <t>Hooker, Richard, 1553 or 1554-1600.</t>
        </is>
      </c>
      <c r="L1045" t="inlineStr">
        <is>
          <t>Cambridge [England] ; New York : Cambridge University Press, 1989.</t>
        </is>
      </c>
      <c r="M1045" t="inlineStr">
        <is>
          <t>1989</t>
        </is>
      </c>
      <c r="O1045" t="inlineStr">
        <is>
          <t>eng</t>
        </is>
      </c>
      <c r="P1045" t="inlineStr">
        <is>
          <t>enk</t>
        </is>
      </c>
      <c r="Q1045" t="inlineStr">
        <is>
          <t>Cambridge texts in the history of political thought</t>
        </is>
      </c>
      <c r="R1045" t="inlineStr">
        <is>
          <t xml:space="preserve">BV </t>
        </is>
      </c>
      <c r="S1045" t="n">
        <v>3</v>
      </c>
      <c r="T1045" t="n">
        <v>3</v>
      </c>
      <c r="U1045" t="inlineStr">
        <is>
          <t>2002-03-10</t>
        </is>
      </c>
      <c r="V1045" t="inlineStr">
        <is>
          <t>2002-03-10</t>
        </is>
      </c>
      <c r="W1045" t="inlineStr">
        <is>
          <t>1992-07-09</t>
        </is>
      </c>
      <c r="X1045" t="inlineStr">
        <is>
          <t>1992-07-09</t>
        </is>
      </c>
      <c r="Y1045" t="n">
        <v>451</v>
      </c>
      <c r="Z1045" t="n">
        <v>311</v>
      </c>
      <c r="AA1045" t="n">
        <v>376</v>
      </c>
      <c r="AB1045" t="n">
        <v>2</v>
      </c>
      <c r="AC1045" t="n">
        <v>2</v>
      </c>
      <c r="AD1045" t="n">
        <v>17</v>
      </c>
      <c r="AE1045" t="n">
        <v>21</v>
      </c>
      <c r="AF1045" t="n">
        <v>5</v>
      </c>
      <c r="AG1045" t="n">
        <v>8</v>
      </c>
      <c r="AH1045" t="n">
        <v>3</v>
      </c>
      <c r="AI1045" t="n">
        <v>4</v>
      </c>
      <c r="AJ1045" t="n">
        <v>7</v>
      </c>
      <c r="AK1045" t="n">
        <v>10</v>
      </c>
      <c r="AL1045" t="n">
        <v>1</v>
      </c>
      <c r="AM1045" t="n">
        <v>1</v>
      </c>
      <c r="AN1045" t="n">
        <v>3</v>
      </c>
      <c r="AO1045" t="n">
        <v>3</v>
      </c>
      <c r="AP1045" t="inlineStr">
        <is>
          <t>No</t>
        </is>
      </c>
      <c r="AQ1045" t="inlineStr">
        <is>
          <t>No</t>
        </is>
      </c>
      <c r="AS1045">
        <f>HYPERLINK("https://creighton-primo.hosted.exlibrisgroup.com/primo-explore/search?tab=default_tab&amp;search_scope=EVERYTHING&amp;vid=01CRU&amp;lang=en_US&amp;offset=0&amp;query=any,contains,991001387319702656","Catalog Record")</f>
        <v/>
      </c>
      <c r="AT1045">
        <f>HYPERLINK("http://www.worldcat.org/oclc/18739233","WorldCat Record")</f>
        <v/>
      </c>
      <c r="AU1045" t="inlineStr">
        <is>
          <t>3313746844:eng</t>
        </is>
      </c>
      <c r="AV1045" t="inlineStr">
        <is>
          <t>18739233</t>
        </is>
      </c>
      <c r="AW1045" t="inlineStr">
        <is>
          <t>991001387319702656</t>
        </is>
      </c>
      <c r="AX1045" t="inlineStr">
        <is>
          <t>991001387319702656</t>
        </is>
      </c>
      <c r="AY1045" t="inlineStr">
        <is>
          <t>2261561450002656</t>
        </is>
      </c>
      <c r="AZ1045" t="inlineStr">
        <is>
          <t>BOOK</t>
        </is>
      </c>
      <c r="BB1045" t="inlineStr">
        <is>
          <t>9780521379083</t>
        </is>
      </c>
      <c r="BC1045" t="inlineStr">
        <is>
          <t>32285001158053</t>
        </is>
      </c>
      <c r="BD1045" t="inlineStr">
        <is>
          <t>893690585</t>
        </is>
      </c>
    </row>
    <row r="1046">
      <c r="A1046" t="inlineStr">
        <is>
          <t>No</t>
        </is>
      </c>
      <c r="B1046" t="inlineStr">
        <is>
          <t>BV649.H9 D5</t>
        </is>
      </c>
      <c r="C1046" t="inlineStr">
        <is>
          <t>0                      BV 0649000H  9                  D  5</t>
        </is>
      </c>
      <c r="D1046" t="inlineStr">
        <is>
          <t>A critical analysis of Richard Hooker's theory of the relation of church and state / Cletus F. Dirksen.</t>
        </is>
      </c>
      <c r="F1046" t="inlineStr">
        <is>
          <t>No</t>
        </is>
      </c>
      <c r="G1046" t="inlineStr">
        <is>
          <t>1</t>
        </is>
      </c>
      <c r="H1046" t="inlineStr">
        <is>
          <t>No</t>
        </is>
      </c>
      <c r="I1046" t="inlineStr">
        <is>
          <t>No</t>
        </is>
      </c>
      <c r="J1046" t="inlineStr">
        <is>
          <t>0</t>
        </is>
      </c>
      <c r="K1046" t="inlineStr">
        <is>
          <t>Dirksen, Cletus Francis, 1907-</t>
        </is>
      </c>
      <c r="L1046" t="inlineStr">
        <is>
          <t>Notre Dame, Ind., Dept. of Political Science [University of Notre Dame] 1947.</t>
        </is>
      </c>
      <c r="M1046" t="inlineStr">
        <is>
          <t>1947</t>
        </is>
      </c>
      <c r="O1046" t="inlineStr">
        <is>
          <t>eng</t>
        </is>
      </c>
      <c r="P1046" t="inlineStr">
        <is>
          <t>___</t>
        </is>
      </c>
      <c r="R1046" t="inlineStr">
        <is>
          <t xml:space="preserve">BV </t>
        </is>
      </c>
      <c r="S1046" t="n">
        <v>1</v>
      </c>
      <c r="T1046" t="n">
        <v>1</v>
      </c>
      <c r="U1046" t="inlineStr">
        <is>
          <t>2002-03-10</t>
        </is>
      </c>
      <c r="V1046" t="inlineStr">
        <is>
          <t>2002-03-10</t>
        </is>
      </c>
      <c r="W1046" t="inlineStr">
        <is>
          <t>1992-01-13</t>
        </is>
      </c>
      <c r="X1046" t="inlineStr">
        <is>
          <t>1992-01-13</t>
        </is>
      </c>
      <c r="Y1046" t="n">
        <v>142</v>
      </c>
      <c r="Z1046" t="n">
        <v>140</v>
      </c>
      <c r="AA1046" t="n">
        <v>144</v>
      </c>
      <c r="AB1046" t="n">
        <v>1</v>
      </c>
      <c r="AC1046" t="n">
        <v>1</v>
      </c>
      <c r="AD1046" t="n">
        <v>27</v>
      </c>
      <c r="AE1046" t="n">
        <v>27</v>
      </c>
      <c r="AF1046" t="n">
        <v>8</v>
      </c>
      <c r="AG1046" t="n">
        <v>8</v>
      </c>
      <c r="AH1046" t="n">
        <v>9</v>
      </c>
      <c r="AI1046" t="n">
        <v>9</v>
      </c>
      <c r="AJ1046" t="n">
        <v>20</v>
      </c>
      <c r="AK1046" t="n">
        <v>20</v>
      </c>
      <c r="AL1046" t="n">
        <v>0</v>
      </c>
      <c r="AM1046" t="n">
        <v>0</v>
      </c>
      <c r="AN1046" t="n">
        <v>0</v>
      </c>
      <c r="AO1046" t="n">
        <v>0</v>
      </c>
      <c r="AP1046" t="inlineStr">
        <is>
          <t>No</t>
        </is>
      </c>
      <c r="AQ1046" t="inlineStr">
        <is>
          <t>No</t>
        </is>
      </c>
      <c r="AR1046">
        <f>HYPERLINK("http://catalog.hathitrust.org/Record/001413402","HathiTrust Record")</f>
        <v/>
      </c>
      <c r="AS1046">
        <f>HYPERLINK("https://creighton-primo.hosted.exlibrisgroup.com/primo-explore/search?tab=default_tab&amp;search_scope=EVERYTHING&amp;vid=01CRU&amp;lang=en_US&amp;offset=0&amp;query=any,contains,991003736779702656","Catalog Record")</f>
        <v/>
      </c>
      <c r="AT1046">
        <f>HYPERLINK("http://www.worldcat.org/oclc/1393955","WorldCat Record")</f>
        <v/>
      </c>
      <c r="AU1046" t="inlineStr">
        <is>
          <t>423341523:eng</t>
        </is>
      </c>
      <c r="AV1046" t="inlineStr">
        <is>
          <t>1393955</t>
        </is>
      </c>
      <c r="AW1046" t="inlineStr">
        <is>
          <t>991003736779702656</t>
        </is>
      </c>
      <c r="AX1046" t="inlineStr">
        <is>
          <t>991003736779702656</t>
        </is>
      </c>
      <c r="AY1046" t="inlineStr">
        <is>
          <t>2261188960002656</t>
        </is>
      </c>
      <c r="AZ1046" t="inlineStr">
        <is>
          <t>BOOK</t>
        </is>
      </c>
      <c r="BC1046" t="inlineStr">
        <is>
          <t>32285000904036</t>
        </is>
      </c>
      <c r="BD1046" t="inlineStr">
        <is>
          <t>893416732</t>
        </is>
      </c>
    </row>
    <row r="1047">
      <c r="A1047" t="inlineStr">
        <is>
          <t>No</t>
        </is>
      </c>
      <c r="B1047" t="inlineStr">
        <is>
          <t>BV652 .C16 2003</t>
        </is>
      </c>
      <c r="C1047" t="inlineStr">
        <is>
          <t>0                      BV 0652000C  16          2003</t>
        </is>
      </c>
      <c r="D1047" t="inlineStr">
        <is>
          <t>Projects that matter : successful planning &amp; evaluation for religious organizations / Kathleen A. Calahan ; [foreword by Craig Dykstra].</t>
        </is>
      </c>
      <c r="F1047" t="inlineStr">
        <is>
          <t>No</t>
        </is>
      </c>
      <c r="G1047" t="inlineStr">
        <is>
          <t>1</t>
        </is>
      </c>
      <c r="H1047" t="inlineStr">
        <is>
          <t>No</t>
        </is>
      </c>
      <c r="I1047" t="inlineStr">
        <is>
          <t>No</t>
        </is>
      </c>
      <c r="J1047" t="inlineStr">
        <is>
          <t>0</t>
        </is>
      </c>
      <c r="K1047" t="inlineStr">
        <is>
          <t>Cahalan, Kathleen A.</t>
        </is>
      </c>
      <c r="L1047" t="inlineStr">
        <is>
          <t>Bethesda, MD : Alban Institute, 2003.</t>
        </is>
      </c>
      <c r="M1047" t="inlineStr">
        <is>
          <t>2003</t>
        </is>
      </c>
      <c r="O1047" t="inlineStr">
        <is>
          <t>eng</t>
        </is>
      </c>
      <c r="P1047" t="inlineStr">
        <is>
          <t>mdu</t>
        </is>
      </c>
      <c r="R1047" t="inlineStr">
        <is>
          <t xml:space="preserve">BV </t>
        </is>
      </c>
      <c r="S1047" t="n">
        <v>1</v>
      </c>
      <c r="T1047" t="n">
        <v>1</v>
      </c>
      <c r="U1047" t="inlineStr">
        <is>
          <t>2009-04-09</t>
        </is>
      </c>
      <c r="V1047" t="inlineStr">
        <is>
          <t>2009-04-09</t>
        </is>
      </c>
      <c r="W1047" t="inlineStr">
        <is>
          <t>2006-03-07</t>
        </is>
      </c>
      <c r="X1047" t="inlineStr">
        <is>
          <t>2006-03-07</t>
        </is>
      </c>
      <c r="Y1047" t="n">
        <v>159</v>
      </c>
      <c r="Z1047" t="n">
        <v>138</v>
      </c>
      <c r="AA1047" t="n">
        <v>162</v>
      </c>
      <c r="AB1047" t="n">
        <v>1</v>
      </c>
      <c r="AC1047" t="n">
        <v>1</v>
      </c>
      <c r="AD1047" t="n">
        <v>5</v>
      </c>
      <c r="AE1047" t="n">
        <v>7</v>
      </c>
      <c r="AF1047" t="n">
        <v>2</v>
      </c>
      <c r="AG1047" t="n">
        <v>4</v>
      </c>
      <c r="AH1047" t="n">
        <v>0</v>
      </c>
      <c r="AI1047" t="n">
        <v>1</v>
      </c>
      <c r="AJ1047" t="n">
        <v>3</v>
      </c>
      <c r="AK1047" t="n">
        <v>3</v>
      </c>
      <c r="AL1047" t="n">
        <v>0</v>
      </c>
      <c r="AM1047" t="n">
        <v>0</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HYPERLINK("https://creighton-primo.hosted.exlibrisgroup.com/primo-explore/search?tab=default_tab&amp;search_scope=EVERYTHING&amp;vid=01CRU&amp;lang=en_US&amp;offset=0&amp;query=any,contains,991004741379702656","Catalog Record")</f>
        <v/>
      </c>
      <c r="AT1047">
        <f>HYPERLINK("http://www.worldcat.org/oclc/52802475","WorldCat Record")</f>
        <v/>
      </c>
      <c r="AU1047" t="inlineStr">
        <is>
          <t>779459:eng</t>
        </is>
      </c>
      <c r="AV1047" t="inlineStr">
        <is>
          <t>52802475</t>
        </is>
      </c>
      <c r="AW1047" t="inlineStr">
        <is>
          <t>991004741379702656</t>
        </is>
      </c>
      <c r="AX1047" t="inlineStr">
        <is>
          <t>991004741379702656</t>
        </is>
      </c>
      <c r="AY1047" t="inlineStr">
        <is>
          <t>2262777200002656</t>
        </is>
      </c>
      <c r="AZ1047" t="inlineStr">
        <is>
          <t>BOOK</t>
        </is>
      </c>
      <c r="BB1047" t="inlineStr">
        <is>
          <t>9781566992763</t>
        </is>
      </c>
      <c r="BC1047" t="inlineStr">
        <is>
          <t>32285005163158</t>
        </is>
      </c>
      <c r="BD1047" t="inlineStr">
        <is>
          <t>893694261</t>
        </is>
      </c>
    </row>
    <row r="1048">
      <c r="A1048" t="inlineStr">
        <is>
          <t>No</t>
        </is>
      </c>
      <c r="B1048" t="inlineStr">
        <is>
          <t>BV652 .L55 1965</t>
        </is>
      </c>
      <c r="C1048" t="inlineStr">
        <is>
          <t>0                      BV 0652000L  55          1965</t>
        </is>
      </c>
      <c r="D1048" t="inlineStr">
        <is>
          <t>Foundations for purposeful church administration / [by] Alvin J. Lindgren.</t>
        </is>
      </c>
      <c r="F1048" t="inlineStr">
        <is>
          <t>No</t>
        </is>
      </c>
      <c r="G1048" t="inlineStr">
        <is>
          <t>1</t>
        </is>
      </c>
      <c r="H1048" t="inlineStr">
        <is>
          <t>No</t>
        </is>
      </c>
      <c r="I1048" t="inlineStr">
        <is>
          <t>No</t>
        </is>
      </c>
      <c r="J1048" t="inlineStr">
        <is>
          <t>0</t>
        </is>
      </c>
      <c r="K1048" t="inlineStr">
        <is>
          <t>Lindgren, Alvin J.</t>
        </is>
      </c>
      <c r="L1048" t="inlineStr">
        <is>
          <t>New York : Abingdon Press, [1965]</t>
        </is>
      </c>
      <c r="M1048" t="inlineStr">
        <is>
          <t>1965</t>
        </is>
      </c>
      <c r="O1048" t="inlineStr">
        <is>
          <t>eng</t>
        </is>
      </c>
      <c r="P1048" t="inlineStr">
        <is>
          <t>nyu</t>
        </is>
      </c>
      <c r="R1048" t="inlineStr">
        <is>
          <t xml:space="preserve">BV </t>
        </is>
      </c>
      <c r="S1048" t="n">
        <v>1</v>
      </c>
      <c r="T1048" t="n">
        <v>1</v>
      </c>
      <c r="U1048" t="inlineStr">
        <is>
          <t>2010-07-12</t>
        </is>
      </c>
      <c r="V1048" t="inlineStr">
        <is>
          <t>2010-07-12</t>
        </is>
      </c>
      <c r="W1048" t="inlineStr">
        <is>
          <t>2010-07-12</t>
        </is>
      </c>
      <c r="X1048" t="inlineStr">
        <is>
          <t>2010-07-12</t>
        </is>
      </c>
      <c r="Y1048" t="n">
        <v>347</v>
      </c>
      <c r="Z1048" t="n">
        <v>307</v>
      </c>
      <c r="AA1048" t="n">
        <v>330</v>
      </c>
      <c r="AB1048" t="n">
        <v>4</v>
      </c>
      <c r="AC1048" t="n">
        <v>5</v>
      </c>
      <c r="AD1048" t="n">
        <v>9</v>
      </c>
      <c r="AE1048" t="n">
        <v>10</v>
      </c>
      <c r="AF1048" t="n">
        <v>5</v>
      </c>
      <c r="AG1048" t="n">
        <v>5</v>
      </c>
      <c r="AH1048" t="n">
        <v>0</v>
      </c>
      <c r="AI1048" t="n">
        <v>0</v>
      </c>
      <c r="AJ1048" t="n">
        <v>2</v>
      </c>
      <c r="AK1048" t="n">
        <v>2</v>
      </c>
      <c r="AL1048" t="n">
        <v>2</v>
      </c>
      <c r="AM1048" t="n">
        <v>3</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HYPERLINK("https://creighton-primo.hosted.exlibrisgroup.com/primo-explore/search?tab=default_tab&amp;search_scope=EVERYTHING&amp;vid=01CRU&amp;lang=en_US&amp;offset=0&amp;query=any,contains,991000022139702656","Catalog Record")</f>
        <v/>
      </c>
      <c r="AT1048">
        <f>HYPERLINK("http://www.worldcat.org/oclc/996169","WorldCat Record")</f>
        <v/>
      </c>
      <c r="AU1048" t="inlineStr">
        <is>
          <t>434323:eng</t>
        </is>
      </c>
      <c r="AV1048" t="inlineStr">
        <is>
          <t>996169</t>
        </is>
      </c>
      <c r="AW1048" t="inlineStr">
        <is>
          <t>991000022139702656</t>
        </is>
      </c>
      <c r="AX1048" t="inlineStr">
        <is>
          <t>991000022139702656</t>
        </is>
      </c>
      <c r="AY1048" t="inlineStr">
        <is>
          <t>2270935830002656</t>
        </is>
      </c>
      <c r="AZ1048" t="inlineStr">
        <is>
          <t>BOOK</t>
        </is>
      </c>
      <c r="BC1048" t="inlineStr">
        <is>
          <t>32285005589865</t>
        </is>
      </c>
      <c r="BD1048" t="inlineStr">
        <is>
          <t>893589033</t>
        </is>
      </c>
    </row>
    <row r="1049">
      <c r="A1049" t="inlineStr">
        <is>
          <t>No</t>
        </is>
      </c>
      <c r="B1049" t="inlineStr">
        <is>
          <t>BV652 .W555 1983</t>
        </is>
      </c>
      <c r="C1049" t="inlineStr">
        <is>
          <t>0                      BV 0652000W  555         1983</t>
        </is>
      </c>
      <c r="D1049" t="inlineStr">
        <is>
          <t>How to mobilize church volunteers / Marlene Wilson.</t>
        </is>
      </c>
      <c r="F1049" t="inlineStr">
        <is>
          <t>No</t>
        </is>
      </c>
      <c r="G1049" t="inlineStr">
        <is>
          <t>1</t>
        </is>
      </c>
      <c r="H1049" t="inlineStr">
        <is>
          <t>No</t>
        </is>
      </c>
      <c r="I1049" t="inlineStr">
        <is>
          <t>No</t>
        </is>
      </c>
      <c r="J1049" t="inlineStr">
        <is>
          <t>0</t>
        </is>
      </c>
      <c r="K1049" t="inlineStr">
        <is>
          <t>Wilson, Marlene.</t>
        </is>
      </c>
      <c r="L1049" t="inlineStr">
        <is>
          <t>Minneapolis : Augsburg Pub. House, c1983.</t>
        </is>
      </c>
      <c r="M1049" t="inlineStr">
        <is>
          <t>1983</t>
        </is>
      </c>
      <c r="O1049" t="inlineStr">
        <is>
          <t>eng</t>
        </is>
      </c>
      <c r="P1049" t="inlineStr">
        <is>
          <t>mnu</t>
        </is>
      </c>
      <c r="R1049" t="inlineStr">
        <is>
          <t xml:space="preserve">BV </t>
        </is>
      </c>
      <c r="S1049" t="n">
        <v>1</v>
      </c>
      <c r="T1049" t="n">
        <v>1</v>
      </c>
      <c r="U1049" t="inlineStr">
        <is>
          <t>2010-07-01</t>
        </is>
      </c>
      <c r="V1049" t="inlineStr">
        <is>
          <t>2010-07-01</t>
        </is>
      </c>
      <c r="W1049" t="inlineStr">
        <is>
          <t>2010-07-01</t>
        </is>
      </c>
      <c r="X1049" t="inlineStr">
        <is>
          <t>2010-07-01</t>
        </is>
      </c>
      <c r="Y1049" t="n">
        <v>314</v>
      </c>
      <c r="Z1049" t="n">
        <v>262</v>
      </c>
      <c r="AA1049" t="n">
        <v>262</v>
      </c>
      <c r="AB1049" t="n">
        <v>3</v>
      </c>
      <c r="AC1049" t="n">
        <v>3</v>
      </c>
      <c r="AD1049" t="n">
        <v>12</v>
      </c>
      <c r="AE1049" t="n">
        <v>12</v>
      </c>
      <c r="AF1049" t="n">
        <v>4</v>
      </c>
      <c r="AG1049" t="n">
        <v>4</v>
      </c>
      <c r="AH1049" t="n">
        <v>1</v>
      </c>
      <c r="AI1049" t="n">
        <v>1</v>
      </c>
      <c r="AJ1049" t="n">
        <v>6</v>
      </c>
      <c r="AK1049" t="n">
        <v>6</v>
      </c>
      <c r="AL1049" t="n">
        <v>1</v>
      </c>
      <c r="AM1049" t="n">
        <v>1</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HYPERLINK("https://creighton-primo.hosted.exlibrisgroup.com/primo-explore/search?tab=default_tab&amp;search_scope=EVERYTHING&amp;vid=01CRU&amp;lang=en_US&amp;offset=0&amp;query=any,contains,991000017299702656","Catalog Record")</f>
        <v/>
      </c>
      <c r="AT1049">
        <f>HYPERLINK("http://www.worldcat.org/oclc/10150147","WorldCat Record")</f>
        <v/>
      </c>
      <c r="AU1049" t="inlineStr">
        <is>
          <t>2894605081:eng</t>
        </is>
      </c>
      <c r="AV1049" t="inlineStr">
        <is>
          <t>10150147</t>
        </is>
      </c>
      <c r="AW1049" t="inlineStr">
        <is>
          <t>991000017299702656</t>
        </is>
      </c>
      <c r="AX1049" t="inlineStr">
        <is>
          <t>991000017299702656</t>
        </is>
      </c>
      <c r="AY1049" t="inlineStr">
        <is>
          <t>2268142040002656</t>
        </is>
      </c>
      <c r="AZ1049" t="inlineStr">
        <is>
          <t>BOOK</t>
        </is>
      </c>
      <c r="BB1049" t="inlineStr">
        <is>
          <t>9780806620121</t>
        </is>
      </c>
      <c r="BC1049" t="inlineStr">
        <is>
          <t>32285005589485</t>
        </is>
      </c>
      <c r="BD1049" t="inlineStr">
        <is>
          <t>893339190</t>
        </is>
      </c>
    </row>
    <row r="1050">
      <c r="A1050" t="inlineStr">
        <is>
          <t>No</t>
        </is>
      </c>
      <c r="B1050" t="inlineStr">
        <is>
          <t>BV652.1 .H23</t>
        </is>
      </c>
      <c r="C1050" t="inlineStr">
        <is>
          <t>0                      BV 0652100H  23</t>
        </is>
      </c>
      <c r="D1050" t="inlineStr">
        <is>
          <t>The personal discernment inventory : an instrument for spiritual guides / Brian P. Hall.</t>
        </is>
      </c>
      <c r="F1050" t="inlineStr">
        <is>
          <t>No</t>
        </is>
      </c>
      <c r="G1050" t="inlineStr">
        <is>
          <t>1</t>
        </is>
      </c>
      <c r="H1050" t="inlineStr">
        <is>
          <t>No</t>
        </is>
      </c>
      <c r="I1050" t="inlineStr">
        <is>
          <t>No</t>
        </is>
      </c>
      <c r="J1050" t="inlineStr">
        <is>
          <t>0</t>
        </is>
      </c>
      <c r="K1050" t="inlineStr">
        <is>
          <t>Hall, Brian P.</t>
        </is>
      </c>
      <c r="L1050" t="inlineStr">
        <is>
          <t>New York : Paulist Press, c1980.</t>
        </is>
      </c>
      <c r="M1050" t="inlineStr">
        <is>
          <t>1980</t>
        </is>
      </c>
      <c r="O1050" t="inlineStr">
        <is>
          <t>eng</t>
        </is>
      </c>
      <c r="P1050" t="inlineStr">
        <is>
          <t>nyu</t>
        </is>
      </c>
      <c r="R1050" t="inlineStr">
        <is>
          <t xml:space="preserve">BV </t>
        </is>
      </c>
      <c r="S1050" t="n">
        <v>1</v>
      </c>
      <c r="T1050" t="n">
        <v>1</v>
      </c>
      <c r="U1050" t="inlineStr">
        <is>
          <t>2009-07-19</t>
        </is>
      </c>
      <c r="V1050" t="inlineStr">
        <is>
          <t>2009-07-19</t>
        </is>
      </c>
      <c r="W1050" t="inlineStr">
        <is>
          <t>1992-01-13</t>
        </is>
      </c>
      <c r="X1050" t="inlineStr">
        <is>
          <t>1992-01-13</t>
        </is>
      </c>
      <c r="Y1050" t="n">
        <v>84</v>
      </c>
      <c r="Z1050" t="n">
        <v>79</v>
      </c>
      <c r="AA1050" t="n">
        <v>79</v>
      </c>
      <c r="AB1050" t="n">
        <v>2</v>
      </c>
      <c r="AC1050" t="n">
        <v>2</v>
      </c>
      <c r="AD1050" t="n">
        <v>10</v>
      </c>
      <c r="AE1050" t="n">
        <v>10</v>
      </c>
      <c r="AF1050" t="n">
        <v>0</v>
      </c>
      <c r="AG1050" t="n">
        <v>0</v>
      </c>
      <c r="AH1050" t="n">
        <v>2</v>
      </c>
      <c r="AI1050" t="n">
        <v>2</v>
      </c>
      <c r="AJ1050" t="n">
        <v>7</v>
      </c>
      <c r="AK1050" t="n">
        <v>7</v>
      </c>
      <c r="AL1050" t="n">
        <v>1</v>
      </c>
      <c r="AM1050" t="n">
        <v>1</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HYPERLINK("https://creighton-primo.hosted.exlibrisgroup.com/primo-explore/search?tab=default_tab&amp;search_scope=EVERYTHING&amp;vid=01CRU&amp;lang=en_US&amp;offset=0&amp;query=any,contains,991005017829702656","Catalog Record")</f>
        <v/>
      </c>
      <c r="AT1050">
        <f>HYPERLINK("http://www.worldcat.org/oclc/6627914","WorldCat Record")</f>
        <v/>
      </c>
      <c r="AU1050" t="inlineStr">
        <is>
          <t>23087397:eng</t>
        </is>
      </c>
      <c r="AV1050" t="inlineStr">
        <is>
          <t>6627914</t>
        </is>
      </c>
      <c r="AW1050" t="inlineStr">
        <is>
          <t>991005017829702656</t>
        </is>
      </c>
      <c r="AX1050" t="inlineStr">
        <is>
          <t>991005017829702656</t>
        </is>
      </c>
      <c r="AY1050" t="inlineStr">
        <is>
          <t>2255229460002656</t>
        </is>
      </c>
      <c r="AZ1050" t="inlineStr">
        <is>
          <t>BOOK</t>
        </is>
      </c>
      <c r="BB1050" t="inlineStr">
        <is>
          <t>9780809123124</t>
        </is>
      </c>
      <c r="BC1050" t="inlineStr">
        <is>
          <t>32285000904051</t>
        </is>
      </c>
      <c r="BD1050" t="inlineStr">
        <is>
          <t>893350587</t>
        </is>
      </c>
    </row>
    <row r="1051">
      <c r="A1051" t="inlineStr">
        <is>
          <t>No</t>
        </is>
      </c>
      <c r="B1051" t="inlineStr">
        <is>
          <t>BV652.1 .H235 1982</t>
        </is>
      </c>
      <c r="C1051" t="inlineStr">
        <is>
          <t>0                      BV 0652100H  235         1982</t>
        </is>
      </c>
      <c r="D1051" t="inlineStr">
        <is>
          <t>Shepherds and lovers : a guide to spiritual leadership and Christian ministry / by Brian P. Hall.</t>
        </is>
      </c>
      <c r="F1051" t="inlineStr">
        <is>
          <t>No</t>
        </is>
      </c>
      <c r="G1051" t="inlineStr">
        <is>
          <t>1</t>
        </is>
      </c>
      <c r="H1051" t="inlineStr">
        <is>
          <t>No</t>
        </is>
      </c>
      <c r="I1051" t="inlineStr">
        <is>
          <t>No</t>
        </is>
      </c>
      <c r="J1051" t="inlineStr">
        <is>
          <t>0</t>
        </is>
      </c>
      <c r="K1051" t="inlineStr">
        <is>
          <t>Hall, Brian P.</t>
        </is>
      </c>
      <c r="L1051" t="inlineStr">
        <is>
          <t>Ramsey, N.J. : Paulist Press, c1982.</t>
        </is>
      </c>
      <c r="M1051" t="inlineStr">
        <is>
          <t>1982</t>
        </is>
      </c>
      <c r="O1051" t="inlineStr">
        <is>
          <t>eng</t>
        </is>
      </c>
      <c r="P1051" t="inlineStr">
        <is>
          <t>nju</t>
        </is>
      </c>
      <c r="R1051" t="inlineStr">
        <is>
          <t xml:space="preserve">BV </t>
        </is>
      </c>
      <c r="S1051" t="n">
        <v>1</v>
      </c>
      <c r="T1051" t="n">
        <v>1</v>
      </c>
      <c r="U1051" t="inlineStr">
        <is>
          <t>2009-07-19</t>
        </is>
      </c>
      <c r="V1051" t="inlineStr">
        <is>
          <t>2009-07-19</t>
        </is>
      </c>
      <c r="W1051" t="inlineStr">
        <is>
          <t>1992-01-13</t>
        </is>
      </c>
      <c r="X1051" t="inlineStr">
        <is>
          <t>1992-01-13</t>
        </is>
      </c>
      <c r="Y1051" t="n">
        <v>84</v>
      </c>
      <c r="Z1051" t="n">
        <v>72</v>
      </c>
      <c r="AA1051" t="n">
        <v>77</v>
      </c>
      <c r="AB1051" t="n">
        <v>1</v>
      </c>
      <c r="AC1051" t="n">
        <v>1</v>
      </c>
      <c r="AD1051" t="n">
        <v>5</v>
      </c>
      <c r="AE1051" t="n">
        <v>5</v>
      </c>
      <c r="AF1051" t="n">
        <v>1</v>
      </c>
      <c r="AG1051" t="n">
        <v>1</v>
      </c>
      <c r="AH1051" t="n">
        <v>1</v>
      </c>
      <c r="AI1051" t="n">
        <v>1</v>
      </c>
      <c r="AJ1051" t="n">
        <v>4</v>
      </c>
      <c r="AK1051" t="n">
        <v>4</v>
      </c>
      <c r="AL1051" t="n">
        <v>0</v>
      </c>
      <c r="AM1051" t="n">
        <v>0</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HYPERLINK("https://creighton-primo.hosted.exlibrisgroup.com/primo-explore/search?tab=default_tab&amp;search_scope=EVERYTHING&amp;vid=01CRU&amp;lang=en_US&amp;offset=0&amp;query=any,contains,991000045329702656","Catalog Record")</f>
        <v/>
      </c>
      <c r="AT1051">
        <f>HYPERLINK("http://www.worldcat.org/oclc/8668359","WorldCat Record")</f>
        <v/>
      </c>
      <c r="AU1051" t="inlineStr">
        <is>
          <t>32476088:eng</t>
        </is>
      </c>
      <c r="AV1051" t="inlineStr">
        <is>
          <t>8668359</t>
        </is>
      </c>
      <c r="AW1051" t="inlineStr">
        <is>
          <t>991000045329702656</t>
        </is>
      </c>
      <c r="AX1051" t="inlineStr">
        <is>
          <t>991000045329702656</t>
        </is>
      </c>
      <c r="AY1051" t="inlineStr">
        <is>
          <t>2270218550002656</t>
        </is>
      </c>
      <c r="AZ1051" t="inlineStr">
        <is>
          <t>BOOK</t>
        </is>
      </c>
      <c r="BB1051" t="inlineStr">
        <is>
          <t>9780809124251</t>
        </is>
      </c>
      <c r="BC1051" t="inlineStr">
        <is>
          <t>32285000904069</t>
        </is>
      </c>
      <c r="BD1051" t="inlineStr">
        <is>
          <t>893406880</t>
        </is>
      </c>
    </row>
    <row r="1052">
      <c r="A1052" t="inlineStr">
        <is>
          <t>No</t>
        </is>
      </c>
      <c r="B1052" t="inlineStr">
        <is>
          <t>BV652.1 .M433 2000</t>
        </is>
      </c>
      <c r="C1052" t="inlineStr">
        <is>
          <t>0                      BV 0652100M  433         2000</t>
        </is>
      </c>
      <c r="D1052" t="inlineStr">
        <is>
          <t>A work of heart : understanding how God shapes spiritual leaders / Reggie McNeal.</t>
        </is>
      </c>
      <c r="F1052" t="inlineStr">
        <is>
          <t>No</t>
        </is>
      </c>
      <c r="G1052" t="inlineStr">
        <is>
          <t>1</t>
        </is>
      </c>
      <c r="H1052" t="inlineStr">
        <is>
          <t>No</t>
        </is>
      </c>
      <c r="I1052" t="inlineStr">
        <is>
          <t>No</t>
        </is>
      </c>
      <c r="J1052" t="inlineStr">
        <is>
          <t>0</t>
        </is>
      </c>
      <c r="K1052" t="inlineStr">
        <is>
          <t>McNeal, Reggie.</t>
        </is>
      </c>
      <c r="L1052" t="inlineStr">
        <is>
          <t>San Francisco : Jossey-Bass, c2000.</t>
        </is>
      </c>
      <c r="M1052" t="inlineStr">
        <is>
          <t>2000</t>
        </is>
      </c>
      <c r="N1052" t="inlineStr">
        <is>
          <t>1st ed.</t>
        </is>
      </c>
      <c r="O1052" t="inlineStr">
        <is>
          <t>eng</t>
        </is>
      </c>
      <c r="P1052" t="inlineStr">
        <is>
          <t>cau</t>
        </is>
      </c>
      <c r="R1052" t="inlineStr">
        <is>
          <t xml:space="preserve">BV </t>
        </is>
      </c>
      <c r="S1052" t="n">
        <v>3</v>
      </c>
      <c r="T1052" t="n">
        <v>3</v>
      </c>
      <c r="U1052" t="inlineStr">
        <is>
          <t>2010-04-01</t>
        </is>
      </c>
      <c r="V1052" t="inlineStr">
        <is>
          <t>2010-04-01</t>
        </is>
      </c>
      <c r="W1052" t="inlineStr">
        <is>
          <t>2005-04-21</t>
        </is>
      </c>
      <c r="X1052" t="inlineStr">
        <is>
          <t>2005-04-21</t>
        </is>
      </c>
      <c r="Y1052" t="n">
        <v>266</v>
      </c>
      <c r="Z1052" t="n">
        <v>224</v>
      </c>
      <c r="AA1052" t="n">
        <v>286</v>
      </c>
      <c r="AB1052" t="n">
        <v>2</v>
      </c>
      <c r="AC1052" t="n">
        <v>3</v>
      </c>
      <c r="AD1052" t="n">
        <v>9</v>
      </c>
      <c r="AE1052" t="n">
        <v>10</v>
      </c>
      <c r="AF1052" t="n">
        <v>4</v>
      </c>
      <c r="AG1052" t="n">
        <v>5</v>
      </c>
      <c r="AH1052" t="n">
        <v>2</v>
      </c>
      <c r="AI1052" t="n">
        <v>3</v>
      </c>
      <c r="AJ1052" t="n">
        <v>3</v>
      </c>
      <c r="AK1052" t="n">
        <v>3</v>
      </c>
      <c r="AL1052" t="n">
        <v>1</v>
      </c>
      <c r="AM1052" t="n">
        <v>1</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HYPERLINK("https://creighton-primo.hosted.exlibrisgroup.com/primo-explore/search?tab=default_tab&amp;search_scope=EVERYTHING&amp;vid=01CRU&amp;lang=en_US&amp;offset=0&amp;query=any,contains,991004521099702656","Catalog Record")</f>
        <v/>
      </c>
      <c r="AT1052">
        <f>HYPERLINK("http://www.worldcat.org/oclc/42923488","WorldCat Record")</f>
        <v/>
      </c>
      <c r="AU1052" t="inlineStr">
        <is>
          <t>796415491:eng</t>
        </is>
      </c>
      <c r="AV1052" t="inlineStr">
        <is>
          <t>42923488</t>
        </is>
      </c>
      <c r="AW1052" t="inlineStr">
        <is>
          <t>991004521099702656</t>
        </is>
      </c>
      <c r="AX1052" t="inlineStr">
        <is>
          <t>991004521099702656</t>
        </is>
      </c>
      <c r="AY1052" t="inlineStr">
        <is>
          <t>2257538220002656</t>
        </is>
      </c>
      <c r="AZ1052" t="inlineStr">
        <is>
          <t>BOOK</t>
        </is>
      </c>
      <c r="BB1052" t="inlineStr">
        <is>
          <t>9780787942885</t>
        </is>
      </c>
      <c r="BC1052" t="inlineStr">
        <is>
          <t>32285005032411</t>
        </is>
      </c>
      <c r="BD1052" t="inlineStr">
        <is>
          <t>893901319</t>
        </is>
      </c>
    </row>
    <row r="1053">
      <c r="A1053" t="inlineStr">
        <is>
          <t>No</t>
        </is>
      </c>
      <c r="B1053" t="inlineStr">
        <is>
          <t>BV652.1 .S58 1997</t>
        </is>
      </c>
      <c r="C1053" t="inlineStr">
        <is>
          <t>0                      BV 0652100S  58          1997</t>
        </is>
      </c>
      <c r="D1053" t="inlineStr">
        <is>
          <t>Servanthood : leadership for the third millennium / Bennett J. Sims.</t>
        </is>
      </c>
      <c r="F1053" t="inlineStr">
        <is>
          <t>No</t>
        </is>
      </c>
      <c r="G1053" t="inlineStr">
        <is>
          <t>1</t>
        </is>
      </c>
      <c r="H1053" t="inlineStr">
        <is>
          <t>No</t>
        </is>
      </c>
      <c r="I1053" t="inlineStr">
        <is>
          <t>No</t>
        </is>
      </c>
      <c r="J1053" t="inlineStr">
        <is>
          <t>0</t>
        </is>
      </c>
      <c r="K1053" t="inlineStr">
        <is>
          <t>Sims, Bennett J., 1920-</t>
        </is>
      </c>
      <c r="L1053" t="inlineStr">
        <is>
          <t>Cambridge, Mass. : Cowley Publications, c1997.</t>
        </is>
      </c>
      <c r="M1053" t="inlineStr">
        <is>
          <t>1997</t>
        </is>
      </c>
      <c r="O1053" t="inlineStr">
        <is>
          <t>eng</t>
        </is>
      </c>
      <c r="P1053" t="inlineStr">
        <is>
          <t>mau</t>
        </is>
      </c>
      <c r="R1053" t="inlineStr">
        <is>
          <t xml:space="preserve">BV </t>
        </is>
      </c>
      <c r="S1053" t="n">
        <v>1</v>
      </c>
      <c r="T1053" t="n">
        <v>1</v>
      </c>
      <c r="U1053" t="inlineStr">
        <is>
          <t>2006-04-24</t>
        </is>
      </c>
      <c r="V1053" t="inlineStr">
        <is>
          <t>2006-04-24</t>
        </is>
      </c>
      <c r="W1053" t="inlineStr">
        <is>
          <t>2006-04-24</t>
        </is>
      </c>
      <c r="X1053" t="inlineStr">
        <is>
          <t>2006-04-24</t>
        </is>
      </c>
      <c r="Y1053" t="n">
        <v>113</v>
      </c>
      <c r="Z1053" t="n">
        <v>97</v>
      </c>
      <c r="AA1053" t="n">
        <v>121</v>
      </c>
      <c r="AB1053" t="n">
        <v>2</v>
      </c>
      <c r="AC1053" t="n">
        <v>3</v>
      </c>
      <c r="AD1053" t="n">
        <v>6</v>
      </c>
      <c r="AE1053" t="n">
        <v>8</v>
      </c>
      <c r="AF1053" t="n">
        <v>1</v>
      </c>
      <c r="AG1053" t="n">
        <v>2</v>
      </c>
      <c r="AH1053" t="n">
        <v>1</v>
      </c>
      <c r="AI1053" t="n">
        <v>2</v>
      </c>
      <c r="AJ1053" t="n">
        <v>4</v>
      </c>
      <c r="AK1053" t="n">
        <v>4</v>
      </c>
      <c r="AL1053" t="n">
        <v>1</v>
      </c>
      <c r="AM1053" t="n">
        <v>2</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HYPERLINK("https://creighton-primo.hosted.exlibrisgroup.com/primo-explore/search?tab=default_tab&amp;search_scope=EVERYTHING&amp;vid=01CRU&amp;lang=en_US&amp;offset=0&amp;query=any,contains,991004793749702656","Catalog Record")</f>
        <v/>
      </c>
      <c r="AT1053">
        <f>HYPERLINK("http://www.worldcat.org/oclc/37024756","WorldCat Record")</f>
        <v/>
      </c>
      <c r="AU1053" t="inlineStr">
        <is>
          <t>318889738:eng</t>
        </is>
      </c>
      <c r="AV1053" t="inlineStr">
        <is>
          <t>37024756</t>
        </is>
      </c>
      <c r="AW1053" t="inlineStr">
        <is>
          <t>991004793749702656</t>
        </is>
      </c>
      <c r="AX1053" t="inlineStr">
        <is>
          <t>991004793749702656</t>
        </is>
      </c>
      <c r="AY1053" t="inlineStr">
        <is>
          <t>2269082040002656</t>
        </is>
      </c>
      <c r="AZ1053" t="inlineStr">
        <is>
          <t>BOOK</t>
        </is>
      </c>
      <c r="BB1053" t="inlineStr">
        <is>
          <t>9781561011452</t>
        </is>
      </c>
      <c r="BC1053" t="inlineStr">
        <is>
          <t>32285005182406</t>
        </is>
      </c>
      <c r="BD1053" t="inlineStr">
        <is>
          <t>893776457</t>
        </is>
      </c>
    </row>
    <row r="1054">
      <c r="A1054" t="inlineStr">
        <is>
          <t>No</t>
        </is>
      </c>
      <c r="B1054" t="inlineStr">
        <is>
          <t>BV652.1 .S65 1995</t>
        </is>
      </c>
      <c r="C1054" t="inlineStr">
        <is>
          <t>0                      BV 0652100S  65          1995</t>
        </is>
      </c>
      <c r="D1054" t="inlineStr">
        <is>
          <t>The collaborative leader : listening to the wisdom of God's people / Loughlan Sofield, Donald H. Kuhn ; foreword by Dolores Leckey.</t>
        </is>
      </c>
      <c r="F1054" t="inlineStr">
        <is>
          <t>No</t>
        </is>
      </c>
      <c r="G1054" t="inlineStr">
        <is>
          <t>1</t>
        </is>
      </c>
      <c r="H1054" t="inlineStr">
        <is>
          <t>No</t>
        </is>
      </c>
      <c r="I1054" t="inlineStr">
        <is>
          <t>No</t>
        </is>
      </c>
      <c r="J1054" t="inlineStr">
        <is>
          <t>0</t>
        </is>
      </c>
      <c r="K1054" t="inlineStr">
        <is>
          <t>Sofield, Loughlan.</t>
        </is>
      </c>
      <c r="L1054" t="inlineStr">
        <is>
          <t>Notre Dame, Ind. : Ave Maria Press, c1995.</t>
        </is>
      </c>
      <c r="M1054" t="inlineStr">
        <is>
          <t>1995</t>
        </is>
      </c>
      <c r="O1054" t="inlineStr">
        <is>
          <t>eng</t>
        </is>
      </c>
      <c r="P1054" t="inlineStr">
        <is>
          <t>inu</t>
        </is>
      </c>
      <c r="R1054" t="inlineStr">
        <is>
          <t xml:space="preserve">BV </t>
        </is>
      </c>
      <c r="S1054" t="n">
        <v>6</v>
      </c>
      <c r="T1054" t="n">
        <v>6</v>
      </c>
      <c r="U1054" t="inlineStr">
        <is>
          <t>1998-03-06</t>
        </is>
      </c>
      <c r="V1054" t="inlineStr">
        <is>
          <t>1998-03-06</t>
        </is>
      </c>
      <c r="W1054" t="inlineStr">
        <is>
          <t>1995-05-23</t>
        </is>
      </c>
      <c r="X1054" t="inlineStr">
        <is>
          <t>1995-05-23</t>
        </is>
      </c>
      <c r="Y1054" t="n">
        <v>162</v>
      </c>
      <c r="Z1054" t="n">
        <v>122</v>
      </c>
      <c r="AA1054" t="n">
        <v>127</v>
      </c>
      <c r="AB1054" t="n">
        <v>2</v>
      </c>
      <c r="AC1054" t="n">
        <v>2</v>
      </c>
      <c r="AD1054" t="n">
        <v>11</v>
      </c>
      <c r="AE1054" t="n">
        <v>11</v>
      </c>
      <c r="AF1054" t="n">
        <v>2</v>
      </c>
      <c r="AG1054" t="n">
        <v>2</v>
      </c>
      <c r="AH1054" t="n">
        <v>1</v>
      </c>
      <c r="AI1054" t="n">
        <v>1</v>
      </c>
      <c r="AJ1054" t="n">
        <v>8</v>
      </c>
      <c r="AK1054" t="n">
        <v>8</v>
      </c>
      <c r="AL1054" t="n">
        <v>1</v>
      </c>
      <c r="AM1054" t="n">
        <v>1</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HYPERLINK("https://creighton-primo.hosted.exlibrisgroup.com/primo-explore/search?tab=default_tab&amp;search_scope=EVERYTHING&amp;vid=01CRU&amp;lang=en_US&amp;offset=0&amp;query=any,contains,991002487049702656","Catalog Record")</f>
        <v/>
      </c>
      <c r="AT1054">
        <f>HYPERLINK("http://www.worldcat.org/oclc/32355245","WorldCat Record")</f>
        <v/>
      </c>
      <c r="AU1054" t="inlineStr">
        <is>
          <t>34041866:eng</t>
        </is>
      </c>
      <c r="AV1054" t="inlineStr">
        <is>
          <t>32355245</t>
        </is>
      </c>
      <c r="AW1054" t="inlineStr">
        <is>
          <t>991002487049702656</t>
        </is>
      </c>
      <c r="AX1054" t="inlineStr">
        <is>
          <t>991002487049702656</t>
        </is>
      </c>
      <c r="AY1054" t="inlineStr">
        <is>
          <t>2270738060002656</t>
        </is>
      </c>
      <c r="AZ1054" t="inlineStr">
        <is>
          <t>BOOK</t>
        </is>
      </c>
      <c r="BB1054" t="inlineStr">
        <is>
          <t>9780877935445</t>
        </is>
      </c>
      <c r="BC1054" t="inlineStr">
        <is>
          <t>32285002046505</t>
        </is>
      </c>
      <c r="BD1054" t="inlineStr">
        <is>
          <t>893239118</t>
        </is>
      </c>
    </row>
    <row r="1055">
      <c r="A1055" t="inlineStr">
        <is>
          <t>No</t>
        </is>
      </c>
      <c r="B1055" t="inlineStr">
        <is>
          <t>BV652.1 .S93 1986</t>
        </is>
      </c>
      <c r="C1055" t="inlineStr">
        <is>
          <t>0                      BV 0652100S  93          1986</t>
        </is>
      </c>
      <c r="D1055" t="inlineStr">
        <is>
          <t>Liberating leadership : practical styles for pastoral ministry / Bernard F. Swain in collaboration with Patricia Dunn, James Gorman, William Kondrath.</t>
        </is>
      </c>
      <c r="F1055" t="inlineStr">
        <is>
          <t>No</t>
        </is>
      </c>
      <c r="G1055" t="inlineStr">
        <is>
          <t>1</t>
        </is>
      </c>
      <c r="H1055" t="inlineStr">
        <is>
          <t>No</t>
        </is>
      </c>
      <c r="I1055" t="inlineStr">
        <is>
          <t>No</t>
        </is>
      </c>
      <c r="J1055" t="inlineStr">
        <is>
          <t>0</t>
        </is>
      </c>
      <c r="K1055" t="inlineStr">
        <is>
          <t>Swain, Bernard F.</t>
        </is>
      </c>
      <c r="L1055" t="inlineStr">
        <is>
          <t>San Francisco : Harper &amp; Row, c1986.</t>
        </is>
      </c>
      <c r="M1055" t="inlineStr">
        <is>
          <t>1986</t>
        </is>
      </c>
      <c r="N1055" t="inlineStr">
        <is>
          <t>1st ed.</t>
        </is>
      </c>
      <c r="O1055" t="inlineStr">
        <is>
          <t>eng</t>
        </is>
      </c>
      <c r="P1055" t="inlineStr">
        <is>
          <t>cau</t>
        </is>
      </c>
      <c r="R1055" t="inlineStr">
        <is>
          <t xml:space="preserve">BV </t>
        </is>
      </c>
      <c r="S1055" t="n">
        <v>1</v>
      </c>
      <c r="T1055" t="n">
        <v>1</v>
      </c>
      <c r="U1055" t="inlineStr">
        <is>
          <t>2008-06-09</t>
        </is>
      </c>
      <c r="V1055" t="inlineStr">
        <is>
          <t>2008-06-09</t>
        </is>
      </c>
      <c r="W1055" t="inlineStr">
        <is>
          <t>2008-06-09</t>
        </is>
      </c>
      <c r="X1055" t="inlineStr">
        <is>
          <t>2008-06-09</t>
        </is>
      </c>
      <c r="Y1055" t="n">
        <v>151</v>
      </c>
      <c r="Z1055" t="n">
        <v>129</v>
      </c>
      <c r="AA1055" t="n">
        <v>129</v>
      </c>
      <c r="AB1055" t="n">
        <v>1</v>
      </c>
      <c r="AC1055" t="n">
        <v>1</v>
      </c>
      <c r="AD1055" t="n">
        <v>11</v>
      </c>
      <c r="AE1055" t="n">
        <v>11</v>
      </c>
      <c r="AF1055" t="n">
        <v>2</v>
      </c>
      <c r="AG1055" t="n">
        <v>2</v>
      </c>
      <c r="AH1055" t="n">
        <v>1</v>
      </c>
      <c r="AI1055" t="n">
        <v>1</v>
      </c>
      <c r="AJ1055" t="n">
        <v>9</v>
      </c>
      <c r="AK1055" t="n">
        <v>9</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HYPERLINK("https://creighton-primo.hosted.exlibrisgroup.com/primo-explore/search?tab=default_tab&amp;search_scope=EVERYTHING&amp;vid=01CRU&amp;lang=en_US&amp;offset=0&amp;query=any,contains,991005232419702656","Catalog Record")</f>
        <v/>
      </c>
      <c r="AT1055">
        <f>HYPERLINK("http://www.worldcat.org/oclc/13796447","WorldCat Record")</f>
        <v/>
      </c>
      <c r="AU1055" t="inlineStr">
        <is>
          <t>7978649:eng</t>
        </is>
      </c>
      <c r="AV1055" t="inlineStr">
        <is>
          <t>13796447</t>
        </is>
      </c>
      <c r="AW1055" t="inlineStr">
        <is>
          <t>991005232419702656</t>
        </is>
      </c>
      <c r="AX1055" t="inlineStr">
        <is>
          <t>991005232419702656</t>
        </is>
      </c>
      <c r="AY1055" t="inlineStr">
        <is>
          <t>2270559260002656</t>
        </is>
      </c>
      <c r="AZ1055" t="inlineStr">
        <is>
          <t>BOOK</t>
        </is>
      </c>
      <c r="BB1055" t="inlineStr">
        <is>
          <t>9780866834834</t>
        </is>
      </c>
      <c r="BC1055" t="inlineStr">
        <is>
          <t>32285005443857</t>
        </is>
      </c>
      <c r="BD1055" t="inlineStr">
        <is>
          <t>893248586</t>
        </is>
      </c>
    </row>
    <row r="1056">
      <c r="A1056" t="inlineStr">
        <is>
          <t>No</t>
        </is>
      </c>
      <c r="B1056" t="inlineStr">
        <is>
          <t>BV652.2 .F37 1996</t>
        </is>
      </c>
      <c r="C1056" t="inlineStr">
        <is>
          <t>0                      BV 0652200F  37          1996</t>
        </is>
      </c>
      <c r="D1056" t="inlineStr">
        <is>
          <t>Grounded in God : listening hearts discernment for group deliberations / Suzanne G. Farnham, Stephanie A. Hull, R. Taylor McLean.</t>
        </is>
      </c>
      <c r="F1056" t="inlineStr">
        <is>
          <t>No</t>
        </is>
      </c>
      <c r="G1056" t="inlineStr">
        <is>
          <t>1</t>
        </is>
      </c>
      <c r="H1056" t="inlineStr">
        <is>
          <t>No</t>
        </is>
      </c>
      <c r="I1056" t="inlineStr">
        <is>
          <t>No</t>
        </is>
      </c>
      <c r="J1056" t="inlineStr">
        <is>
          <t>0</t>
        </is>
      </c>
      <c r="K1056" t="inlineStr">
        <is>
          <t>Farnham, Suzanne G.</t>
        </is>
      </c>
      <c r="L1056" t="inlineStr">
        <is>
          <t>Harrisburg,Pa. : Morehouse Pub., c1996.</t>
        </is>
      </c>
      <c r="M1056" t="inlineStr">
        <is>
          <t>1996</t>
        </is>
      </c>
      <c r="O1056" t="inlineStr">
        <is>
          <t>eng</t>
        </is>
      </c>
      <c r="P1056" t="inlineStr">
        <is>
          <t>ctu</t>
        </is>
      </c>
      <c r="R1056" t="inlineStr">
        <is>
          <t xml:space="preserve">BV </t>
        </is>
      </c>
      <c r="S1056" t="n">
        <v>5</v>
      </c>
      <c r="T1056" t="n">
        <v>5</v>
      </c>
      <c r="U1056" t="inlineStr">
        <is>
          <t>2004-07-08</t>
        </is>
      </c>
      <c r="V1056" t="inlineStr">
        <is>
          <t>2004-07-08</t>
        </is>
      </c>
      <c r="W1056" t="inlineStr">
        <is>
          <t>1997-04-03</t>
        </is>
      </c>
      <c r="X1056" t="inlineStr">
        <is>
          <t>1997-04-03</t>
        </is>
      </c>
      <c r="Y1056" t="n">
        <v>40</v>
      </c>
      <c r="Z1056" t="n">
        <v>36</v>
      </c>
      <c r="AA1056" t="n">
        <v>84</v>
      </c>
      <c r="AB1056" t="n">
        <v>1</v>
      </c>
      <c r="AC1056" t="n">
        <v>2</v>
      </c>
      <c r="AD1056" t="n">
        <v>0</v>
      </c>
      <c r="AE1056" t="n">
        <v>3</v>
      </c>
      <c r="AF1056" t="n">
        <v>0</v>
      </c>
      <c r="AG1056" t="n">
        <v>1</v>
      </c>
      <c r="AH1056" t="n">
        <v>0</v>
      </c>
      <c r="AI1056" t="n">
        <v>0</v>
      </c>
      <c r="AJ1056" t="n">
        <v>0</v>
      </c>
      <c r="AK1056" t="n">
        <v>1</v>
      </c>
      <c r="AL1056" t="n">
        <v>0</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HYPERLINK("https://creighton-primo.hosted.exlibrisgroup.com/primo-explore/search?tab=default_tab&amp;search_scope=EVERYTHING&amp;vid=01CRU&amp;lang=en_US&amp;offset=0&amp;query=any,contains,991002660789702656","Catalog Record")</f>
        <v/>
      </c>
      <c r="AT1056">
        <f>HYPERLINK("http://www.worldcat.org/oclc/34775972","WorldCat Record")</f>
        <v/>
      </c>
      <c r="AU1056" t="inlineStr">
        <is>
          <t>27429643:eng</t>
        </is>
      </c>
      <c r="AV1056" t="inlineStr">
        <is>
          <t>34775972</t>
        </is>
      </c>
      <c r="AW1056" t="inlineStr">
        <is>
          <t>991002660789702656</t>
        </is>
      </c>
      <c r="AX1056" t="inlineStr">
        <is>
          <t>991002660789702656</t>
        </is>
      </c>
      <c r="AY1056" t="inlineStr">
        <is>
          <t>2260676850002656</t>
        </is>
      </c>
      <c r="AZ1056" t="inlineStr">
        <is>
          <t>BOOK</t>
        </is>
      </c>
      <c r="BB1056" t="inlineStr">
        <is>
          <t>9780819216731</t>
        </is>
      </c>
      <c r="BC1056" t="inlineStr">
        <is>
          <t>32285002478617</t>
        </is>
      </c>
      <c r="BD1056" t="inlineStr">
        <is>
          <t>893899042</t>
        </is>
      </c>
    </row>
    <row r="1057">
      <c r="A1057" t="inlineStr">
        <is>
          <t>No</t>
        </is>
      </c>
      <c r="B1057" t="inlineStr">
        <is>
          <t>BV652.2 .M24 1987</t>
        </is>
      </c>
      <c r="C1057" t="inlineStr">
        <is>
          <t>0                      BV 0652200M  24          1987</t>
        </is>
      </c>
      <c r="D1057" t="inlineStr">
        <is>
          <t>Sharing wisdom : a process for group decision making : a guide to being and building church / Mary Benet McKinney.</t>
        </is>
      </c>
      <c r="F1057" t="inlineStr">
        <is>
          <t>No</t>
        </is>
      </c>
      <c r="G1057" t="inlineStr">
        <is>
          <t>1</t>
        </is>
      </c>
      <c r="H1057" t="inlineStr">
        <is>
          <t>No</t>
        </is>
      </c>
      <c r="I1057" t="inlineStr">
        <is>
          <t>No</t>
        </is>
      </c>
      <c r="J1057" t="inlineStr">
        <is>
          <t>0</t>
        </is>
      </c>
      <c r="K1057" t="inlineStr">
        <is>
          <t>McKinney, Mary Benet.</t>
        </is>
      </c>
      <c r="L1057" t="inlineStr">
        <is>
          <t>Allen, TX : Tabor Pub., c1987.</t>
        </is>
      </c>
      <c r="M1057" t="inlineStr">
        <is>
          <t>1987</t>
        </is>
      </c>
      <c r="O1057" t="inlineStr">
        <is>
          <t>eng</t>
        </is>
      </c>
      <c r="P1057" t="inlineStr">
        <is>
          <t>txu</t>
        </is>
      </c>
      <c r="R1057" t="inlineStr">
        <is>
          <t xml:space="preserve">BV </t>
        </is>
      </c>
      <c r="S1057" t="n">
        <v>2</v>
      </c>
      <c r="T1057" t="n">
        <v>2</v>
      </c>
      <c r="U1057" t="inlineStr">
        <is>
          <t>2005-04-13</t>
        </is>
      </c>
      <c r="V1057" t="inlineStr">
        <is>
          <t>2005-04-13</t>
        </is>
      </c>
      <c r="W1057" t="inlineStr">
        <is>
          <t>2005-04-13</t>
        </is>
      </c>
      <c r="X1057" t="inlineStr">
        <is>
          <t>2005-04-13</t>
        </is>
      </c>
      <c r="Y1057" t="n">
        <v>91</v>
      </c>
      <c r="Z1057" t="n">
        <v>77</v>
      </c>
      <c r="AA1057" t="n">
        <v>82</v>
      </c>
      <c r="AB1057" t="n">
        <v>1</v>
      </c>
      <c r="AC1057" t="n">
        <v>1</v>
      </c>
      <c r="AD1057" t="n">
        <v>12</v>
      </c>
      <c r="AE1057" t="n">
        <v>13</v>
      </c>
      <c r="AF1057" t="n">
        <v>3</v>
      </c>
      <c r="AG1057" t="n">
        <v>3</v>
      </c>
      <c r="AH1057" t="n">
        <v>3</v>
      </c>
      <c r="AI1057" t="n">
        <v>4</v>
      </c>
      <c r="AJ1057" t="n">
        <v>8</v>
      </c>
      <c r="AK1057" t="n">
        <v>9</v>
      </c>
      <c r="AL1057" t="n">
        <v>0</v>
      </c>
      <c r="AM1057" t="n">
        <v>0</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HYPERLINK("https://creighton-primo.hosted.exlibrisgroup.com/primo-explore/search?tab=default_tab&amp;search_scope=EVERYTHING&amp;vid=01CRU&amp;lang=en_US&amp;offset=0&amp;query=any,contains,991004529459702656","Catalog Record")</f>
        <v/>
      </c>
      <c r="AT1057">
        <f>HYPERLINK("http://www.worldcat.org/oclc/15154645","WorldCat Record")</f>
        <v/>
      </c>
      <c r="AU1057" t="inlineStr">
        <is>
          <t>8259547:eng</t>
        </is>
      </c>
      <c r="AV1057" t="inlineStr">
        <is>
          <t>15154645</t>
        </is>
      </c>
      <c r="AW1057" t="inlineStr">
        <is>
          <t>991004529459702656</t>
        </is>
      </c>
      <c r="AX1057" t="inlineStr">
        <is>
          <t>991004529459702656</t>
        </is>
      </c>
      <c r="AY1057" t="inlineStr">
        <is>
          <t>2268323650002656</t>
        </is>
      </c>
      <c r="AZ1057" t="inlineStr">
        <is>
          <t>BOOK</t>
        </is>
      </c>
      <c r="BB1057" t="inlineStr">
        <is>
          <t>9780895054494</t>
        </is>
      </c>
      <c r="BC1057" t="inlineStr">
        <is>
          <t>32285005030506</t>
        </is>
      </c>
      <c r="BD1057" t="inlineStr">
        <is>
          <t>893719040</t>
        </is>
      </c>
    </row>
    <row r="1058">
      <c r="A1058" t="inlineStr">
        <is>
          <t>No</t>
        </is>
      </c>
      <c r="B1058" t="inlineStr">
        <is>
          <t>BV652.25 .C478 1993</t>
        </is>
      </c>
      <c r="C1058" t="inlineStr">
        <is>
          <t>0                      BV 0652250C  478         1993</t>
        </is>
      </c>
      <c r="D1058" t="inlineStr">
        <is>
          <t>Church and denominational growth / [edited by] David A. Roozen, C. Kirk Hadaway.</t>
        </is>
      </c>
      <c r="F1058" t="inlineStr">
        <is>
          <t>No</t>
        </is>
      </c>
      <c r="G1058" t="inlineStr">
        <is>
          <t>1</t>
        </is>
      </c>
      <c r="H1058" t="inlineStr">
        <is>
          <t>No</t>
        </is>
      </c>
      <c r="I1058" t="inlineStr">
        <is>
          <t>No</t>
        </is>
      </c>
      <c r="J1058" t="inlineStr">
        <is>
          <t>0</t>
        </is>
      </c>
      <c r="L1058" t="inlineStr">
        <is>
          <t>Nashville : Abingdon Press, c1993.</t>
        </is>
      </c>
      <c r="M1058" t="inlineStr">
        <is>
          <t>1993</t>
        </is>
      </c>
      <c r="O1058" t="inlineStr">
        <is>
          <t>eng</t>
        </is>
      </c>
      <c r="P1058" t="inlineStr">
        <is>
          <t>tnu</t>
        </is>
      </c>
      <c r="R1058" t="inlineStr">
        <is>
          <t xml:space="preserve">BV </t>
        </is>
      </c>
      <c r="S1058" t="n">
        <v>6</v>
      </c>
      <c r="T1058" t="n">
        <v>6</v>
      </c>
      <c r="U1058" t="inlineStr">
        <is>
          <t>1996-06-06</t>
        </is>
      </c>
      <c r="V1058" t="inlineStr">
        <is>
          <t>1996-06-06</t>
        </is>
      </c>
      <c r="W1058" t="inlineStr">
        <is>
          <t>1995-03-19</t>
        </is>
      </c>
      <c r="X1058" t="inlineStr">
        <is>
          <t>1995-03-19</t>
        </is>
      </c>
      <c r="Y1058" t="n">
        <v>226</v>
      </c>
      <c r="Z1058" t="n">
        <v>193</v>
      </c>
      <c r="AA1058" t="n">
        <v>198</v>
      </c>
      <c r="AB1058" t="n">
        <v>2</v>
      </c>
      <c r="AC1058" t="n">
        <v>2</v>
      </c>
      <c r="AD1058" t="n">
        <v>10</v>
      </c>
      <c r="AE1058" t="n">
        <v>10</v>
      </c>
      <c r="AF1058" t="n">
        <v>5</v>
      </c>
      <c r="AG1058" t="n">
        <v>5</v>
      </c>
      <c r="AH1058" t="n">
        <v>2</v>
      </c>
      <c r="AI1058" t="n">
        <v>2</v>
      </c>
      <c r="AJ1058" t="n">
        <v>3</v>
      </c>
      <c r="AK1058" t="n">
        <v>3</v>
      </c>
      <c r="AL1058" t="n">
        <v>1</v>
      </c>
      <c r="AM1058" t="n">
        <v>1</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HYPERLINK("https://creighton-primo.hosted.exlibrisgroup.com/primo-explore/search?tab=default_tab&amp;search_scope=EVERYTHING&amp;vid=01CRU&amp;lang=en_US&amp;offset=0&amp;query=any,contains,991002152399702656","Catalog Record")</f>
        <v/>
      </c>
      <c r="AT1058">
        <f>HYPERLINK("http://www.worldcat.org/oclc/27727898","WorldCat Record")</f>
        <v/>
      </c>
      <c r="AU1058" t="inlineStr">
        <is>
          <t>347324:eng</t>
        </is>
      </c>
      <c r="AV1058" t="inlineStr">
        <is>
          <t>27727898</t>
        </is>
      </c>
      <c r="AW1058" t="inlineStr">
        <is>
          <t>991002152399702656</t>
        </is>
      </c>
      <c r="AX1058" t="inlineStr">
        <is>
          <t>991002152399702656</t>
        </is>
      </c>
      <c r="AY1058" t="inlineStr">
        <is>
          <t>2264450080002656</t>
        </is>
      </c>
      <c r="AZ1058" t="inlineStr">
        <is>
          <t>BOOK</t>
        </is>
      </c>
      <c r="BB1058" t="inlineStr">
        <is>
          <t>9780687159048</t>
        </is>
      </c>
      <c r="BC1058" t="inlineStr">
        <is>
          <t>32285002002391</t>
        </is>
      </c>
      <c r="BD1058" t="inlineStr">
        <is>
          <t>893408751</t>
        </is>
      </c>
    </row>
    <row r="1059">
      <c r="A1059" t="inlineStr">
        <is>
          <t>No</t>
        </is>
      </c>
      <c r="B1059" t="inlineStr">
        <is>
          <t>BV652.9 .B67</t>
        </is>
      </c>
      <c r="C1059" t="inlineStr">
        <is>
          <t>0                      BV 0652900B  67</t>
        </is>
      </c>
      <c r="D1059" t="inlineStr">
        <is>
          <t>Creative conflict in religious education and church administration / Donald E. Bossart.</t>
        </is>
      </c>
      <c r="F1059" t="inlineStr">
        <is>
          <t>No</t>
        </is>
      </c>
      <c r="G1059" t="inlineStr">
        <is>
          <t>1</t>
        </is>
      </c>
      <c r="H1059" t="inlineStr">
        <is>
          <t>No</t>
        </is>
      </c>
      <c r="I1059" t="inlineStr">
        <is>
          <t>No</t>
        </is>
      </c>
      <c r="J1059" t="inlineStr">
        <is>
          <t>0</t>
        </is>
      </c>
      <c r="K1059" t="inlineStr">
        <is>
          <t>Bossart, Donald E.</t>
        </is>
      </c>
      <c r="L1059" t="inlineStr">
        <is>
          <t>Birmingham, Ala. : Religious Education Press, [1980]</t>
        </is>
      </c>
      <c r="M1059" t="inlineStr">
        <is>
          <t>1980</t>
        </is>
      </c>
      <c r="O1059" t="inlineStr">
        <is>
          <t>eng</t>
        </is>
      </c>
      <c r="P1059" t="inlineStr">
        <is>
          <t>alu</t>
        </is>
      </c>
      <c r="R1059" t="inlineStr">
        <is>
          <t xml:space="preserve">BV </t>
        </is>
      </c>
      <c r="S1059" t="n">
        <v>2</v>
      </c>
      <c r="T1059" t="n">
        <v>2</v>
      </c>
      <c r="U1059" t="inlineStr">
        <is>
          <t>1998-11-29</t>
        </is>
      </c>
      <c r="V1059" t="inlineStr">
        <is>
          <t>1998-11-29</t>
        </is>
      </c>
      <c r="W1059" t="inlineStr">
        <is>
          <t>1992-01-13</t>
        </is>
      </c>
      <c r="X1059" t="inlineStr">
        <is>
          <t>1992-01-13</t>
        </is>
      </c>
      <c r="Y1059" t="n">
        <v>326</v>
      </c>
      <c r="Z1059" t="n">
        <v>280</v>
      </c>
      <c r="AA1059" t="n">
        <v>285</v>
      </c>
      <c r="AB1059" t="n">
        <v>4</v>
      </c>
      <c r="AC1059" t="n">
        <v>4</v>
      </c>
      <c r="AD1059" t="n">
        <v>24</v>
      </c>
      <c r="AE1059" t="n">
        <v>24</v>
      </c>
      <c r="AF1059" t="n">
        <v>8</v>
      </c>
      <c r="AG1059" t="n">
        <v>8</v>
      </c>
      <c r="AH1059" t="n">
        <v>5</v>
      </c>
      <c r="AI1059" t="n">
        <v>5</v>
      </c>
      <c r="AJ1059" t="n">
        <v>13</v>
      </c>
      <c r="AK1059" t="n">
        <v>13</v>
      </c>
      <c r="AL1059" t="n">
        <v>3</v>
      </c>
      <c r="AM1059" t="n">
        <v>3</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HYPERLINK("https://creighton-primo.hosted.exlibrisgroup.com/primo-explore/search?tab=default_tab&amp;search_scope=EVERYTHING&amp;vid=01CRU&amp;lang=en_US&amp;offset=0&amp;query=any,contains,991004936979702656","Catalog Record")</f>
        <v/>
      </c>
      <c r="AT1059">
        <f>HYPERLINK("http://www.worldcat.org/oclc/6143877","WorldCat Record")</f>
        <v/>
      </c>
      <c r="AU1059" t="inlineStr">
        <is>
          <t>548258:eng</t>
        </is>
      </c>
      <c r="AV1059" t="inlineStr">
        <is>
          <t>6143877</t>
        </is>
      </c>
      <c r="AW1059" t="inlineStr">
        <is>
          <t>991004936979702656</t>
        </is>
      </c>
      <c r="AX1059" t="inlineStr">
        <is>
          <t>991004936979702656</t>
        </is>
      </c>
      <c r="AY1059" t="inlineStr">
        <is>
          <t>2259979980002656</t>
        </is>
      </c>
      <c r="AZ1059" t="inlineStr">
        <is>
          <t>BOOK</t>
        </is>
      </c>
      <c r="BB1059" t="inlineStr">
        <is>
          <t>9780891350484</t>
        </is>
      </c>
      <c r="BC1059" t="inlineStr">
        <is>
          <t>32285000904101</t>
        </is>
      </c>
      <c r="BD1059" t="inlineStr">
        <is>
          <t>893905128</t>
        </is>
      </c>
    </row>
    <row r="1060">
      <c r="A1060" t="inlineStr">
        <is>
          <t>No</t>
        </is>
      </c>
      <c r="B1060" t="inlineStr">
        <is>
          <t>BV652.9 .C665 2006</t>
        </is>
      </c>
      <c r="C1060" t="inlineStr">
        <is>
          <t>0                      BV 0652900C  665         2006</t>
        </is>
      </c>
      <c r="D1060" t="inlineStr">
        <is>
          <t>Willing the good : Jesus, dissent, and desire / by Paula M. Cooey.</t>
        </is>
      </c>
      <c r="F1060" t="inlineStr">
        <is>
          <t>No</t>
        </is>
      </c>
      <c r="G1060" t="inlineStr">
        <is>
          <t>1</t>
        </is>
      </c>
      <c r="H1060" t="inlineStr">
        <is>
          <t>No</t>
        </is>
      </c>
      <c r="I1060" t="inlineStr">
        <is>
          <t>No</t>
        </is>
      </c>
      <c r="J1060" t="inlineStr">
        <is>
          <t>0</t>
        </is>
      </c>
      <c r="K1060" t="inlineStr">
        <is>
          <t>Cooey, Paula M., 1945-</t>
        </is>
      </c>
      <c r="L1060" t="inlineStr">
        <is>
          <t>Minneapolis, MN : Augsburg Fortress, 2006.</t>
        </is>
      </c>
      <c r="M1060" t="inlineStr">
        <is>
          <t>2006</t>
        </is>
      </c>
      <c r="O1060" t="inlineStr">
        <is>
          <t>eng</t>
        </is>
      </c>
      <c r="P1060" t="inlineStr">
        <is>
          <t>mnu</t>
        </is>
      </c>
      <c r="R1060" t="inlineStr">
        <is>
          <t xml:space="preserve">BV </t>
        </is>
      </c>
      <c r="S1060" t="n">
        <v>1</v>
      </c>
      <c r="T1060" t="n">
        <v>1</v>
      </c>
      <c r="U1060" t="inlineStr">
        <is>
          <t>2007-12-04</t>
        </is>
      </c>
      <c r="V1060" t="inlineStr">
        <is>
          <t>2007-12-04</t>
        </is>
      </c>
      <c r="W1060" t="inlineStr">
        <is>
          <t>2007-12-04</t>
        </is>
      </c>
      <c r="X1060" t="inlineStr">
        <is>
          <t>2007-12-04</t>
        </is>
      </c>
      <c r="Y1060" t="n">
        <v>130</v>
      </c>
      <c r="Z1060" t="n">
        <v>110</v>
      </c>
      <c r="AA1060" t="n">
        <v>110</v>
      </c>
      <c r="AB1060" t="n">
        <v>1</v>
      </c>
      <c r="AC1060" t="n">
        <v>1</v>
      </c>
      <c r="AD1060" t="n">
        <v>12</v>
      </c>
      <c r="AE1060" t="n">
        <v>12</v>
      </c>
      <c r="AF1060" t="n">
        <v>3</v>
      </c>
      <c r="AG1060" t="n">
        <v>3</v>
      </c>
      <c r="AH1060" t="n">
        <v>4</v>
      </c>
      <c r="AI1060" t="n">
        <v>4</v>
      </c>
      <c r="AJ1060" t="n">
        <v>9</v>
      </c>
      <c r="AK1060" t="n">
        <v>9</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HYPERLINK("https://creighton-primo.hosted.exlibrisgroup.com/primo-explore/search?tab=default_tab&amp;search_scope=EVERYTHING&amp;vid=01CRU&amp;lang=en_US&amp;offset=0&amp;query=any,contains,991005148449702656","Catalog Record")</f>
        <v/>
      </c>
      <c r="AT1060">
        <f>HYPERLINK("http://www.worldcat.org/oclc/65425851","WorldCat Record")</f>
        <v/>
      </c>
      <c r="AU1060" t="inlineStr">
        <is>
          <t>499921911:eng</t>
        </is>
      </c>
      <c r="AV1060" t="inlineStr">
        <is>
          <t>65425851</t>
        </is>
      </c>
      <c r="AW1060" t="inlineStr">
        <is>
          <t>991005148449702656</t>
        </is>
      </c>
      <c r="AX1060" t="inlineStr">
        <is>
          <t>991005148449702656</t>
        </is>
      </c>
      <c r="AY1060" t="inlineStr">
        <is>
          <t>2255899340002656</t>
        </is>
      </c>
      <c r="AZ1060" t="inlineStr">
        <is>
          <t>BOOK</t>
        </is>
      </c>
      <c r="BB1060" t="inlineStr">
        <is>
          <t>9780800636647</t>
        </is>
      </c>
      <c r="BC1060" t="inlineStr">
        <is>
          <t>32285005369649</t>
        </is>
      </c>
      <c r="BD1060" t="inlineStr">
        <is>
          <t>893606911</t>
        </is>
      </c>
    </row>
    <row r="1061">
      <c r="A1061" t="inlineStr">
        <is>
          <t>No</t>
        </is>
      </c>
      <c r="B1061" t="inlineStr">
        <is>
          <t>BV652.9 .R36 1988</t>
        </is>
      </c>
      <c r="C1061" t="inlineStr">
        <is>
          <t>0                      BV 0652900R  36          1988</t>
        </is>
      </c>
      <c r="D1061" t="inlineStr">
        <is>
          <t>Pastor and parish : the psychological core of ecclesiastical conflicts / Robert L. Randall.</t>
        </is>
      </c>
      <c r="F1061" t="inlineStr">
        <is>
          <t>No</t>
        </is>
      </c>
      <c r="G1061" t="inlineStr">
        <is>
          <t>1</t>
        </is>
      </c>
      <c r="H1061" t="inlineStr">
        <is>
          <t>No</t>
        </is>
      </c>
      <c r="I1061" t="inlineStr">
        <is>
          <t>No</t>
        </is>
      </c>
      <c r="J1061" t="inlineStr">
        <is>
          <t>0</t>
        </is>
      </c>
      <c r="K1061" t="inlineStr">
        <is>
          <t>Randall, Robert L., 1942-</t>
        </is>
      </c>
      <c r="L1061" t="inlineStr">
        <is>
          <t>New York, N.Y. : Human Sciences Press, c1988.</t>
        </is>
      </c>
      <c r="M1061" t="inlineStr">
        <is>
          <t>1988</t>
        </is>
      </c>
      <c r="O1061" t="inlineStr">
        <is>
          <t>eng</t>
        </is>
      </c>
      <c r="P1061" t="inlineStr">
        <is>
          <t>nyu</t>
        </is>
      </c>
      <c r="R1061" t="inlineStr">
        <is>
          <t xml:space="preserve">BV </t>
        </is>
      </c>
      <c r="S1061" t="n">
        <v>1</v>
      </c>
      <c r="T1061" t="n">
        <v>1</v>
      </c>
      <c r="U1061" t="inlineStr">
        <is>
          <t>1992-04-28</t>
        </is>
      </c>
      <c r="V1061" t="inlineStr">
        <is>
          <t>1992-04-28</t>
        </is>
      </c>
      <c r="W1061" t="inlineStr">
        <is>
          <t>1990-07-13</t>
        </is>
      </c>
      <c r="X1061" t="inlineStr">
        <is>
          <t>1990-07-13</t>
        </is>
      </c>
      <c r="Y1061" t="n">
        <v>192</v>
      </c>
      <c r="Z1061" t="n">
        <v>164</v>
      </c>
      <c r="AA1061" t="n">
        <v>170</v>
      </c>
      <c r="AB1061" t="n">
        <v>1</v>
      </c>
      <c r="AC1061" t="n">
        <v>1</v>
      </c>
      <c r="AD1061" t="n">
        <v>10</v>
      </c>
      <c r="AE1061" t="n">
        <v>10</v>
      </c>
      <c r="AF1061" t="n">
        <v>3</v>
      </c>
      <c r="AG1061" t="n">
        <v>3</v>
      </c>
      <c r="AH1061" t="n">
        <v>2</v>
      </c>
      <c r="AI1061" t="n">
        <v>2</v>
      </c>
      <c r="AJ1061" t="n">
        <v>8</v>
      </c>
      <c r="AK1061" t="n">
        <v>8</v>
      </c>
      <c r="AL1061" t="n">
        <v>0</v>
      </c>
      <c r="AM1061" t="n">
        <v>0</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HYPERLINK("https://creighton-primo.hosted.exlibrisgroup.com/primo-explore/search?tab=default_tab&amp;search_scope=EVERYTHING&amp;vid=01CRU&amp;lang=en_US&amp;offset=0&amp;query=any,contains,991000957439702656","Catalog Record")</f>
        <v/>
      </c>
      <c r="AT1061">
        <f>HYPERLINK("http://www.worldcat.org/oclc/14719676","WorldCat Record")</f>
        <v/>
      </c>
      <c r="AU1061" t="inlineStr">
        <is>
          <t>8583580:eng</t>
        </is>
      </c>
      <c r="AV1061" t="inlineStr">
        <is>
          <t>14719676</t>
        </is>
      </c>
      <c r="AW1061" t="inlineStr">
        <is>
          <t>991000957439702656</t>
        </is>
      </c>
      <c r="AX1061" t="inlineStr">
        <is>
          <t>991000957439702656</t>
        </is>
      </c>
      <c r="AY1061" t="inlineStr">
        <is>
          <t>2254874920002656</t>
        </is>
      </c>
      <c r="AZ1061" t="inlineStr">
        <is>
          <t>BOOK</t>
        </is>
      </c>
      <c r="BB1061" t="inlineStr">
        <is>
          <t>9780898853483</t>
        </is>
      </c>
      <c r="BC1061" t="inlineStr">
        <is>
          <t>32285000236801</t>
        </is>
      </c>
      <c r="BD1061" t="inlineStr">
        <is>
          <t>893589898</t>
        </is>
      </c>
    </row>
    <row r="1062">
      <c r="A1062" t="inlineStr">
        <is>
          <t>No</t>
        </is>
      </c>
      <c r="B1062" t="inlineStr">
        <is>
          <t>BV652.95 .A53 2000</t>
        </is>
      </c>
      <c r="C1062" t="inlineStr">
        <is>
          <t>0                      BV 0652950A  53          2000</t>
        </is>
      </c>
      <c r="D1062" t="inlineStr">
        <is>
          <t>Screen saved : peril and promise of media in ministry / by Dan Andriacco.</t>
        </is>
      </c>
      <c r="F1062" t="inlineStr">
        <is>
          <t>No</t>
        </is>
      </c>
      <c r="G1062" t="inlineStr">
        <is>
          <t>1</t>
        </is>
      </c>
      <c r="H1062" t="inlineStr">
        <is>
          <t>No</t>
        </is>
      </c>
      <c r="I1062" t="inlineStr">
        <is>
          <t>No</t>
        </is>
      </c>
      <c r="J1062" t="inlineStr">
        <is>
          <t>0</t>
        </is>
      </c>
      <c r="K1062" t="inlineStr">
        <is>
          <t>Andriacco, Dan.</t>
        </is>
      </c>
      <c r="L1062" t="inlineStr">
        <is>
          <t>Cincinnati, Ohio : St. Anthony Messenger Press, c2000.</t>
        </is>
      </c>
      <c r="M1062" t="inlineStr">
        <is>
          <t>2000</t>
        </is>
      </c>
      <c r="O1062" t="inlineStr">
        <is>
          <t>eng</t>
        </is>
      </c>
      <c r="P1062" t="inlineStr">
        <is>
          <t>ohu</t>
        </is>
      </c>
      <c r="R1062" t="inlineStr">
        <is>
          <t xml:space="preserve">BV </t>
        </is>
      </c>
      <c r="S1062" t="n">
        <v>3</v>
      </c>
      <c r="T1062" t="n">
        <v>3</v>
      </c>
      <c r="U1062" t="inlineStr">
        <is>
          <t>2006-03-24</t>
        </is>
      </c>
      <c r="V1062" t="inlineStr">
        <is>
          <t>2006-03-24</t>
        </is>
      </c>
      <c r="W1062" t="inlineStr">
        <is>
          <t>2001-04-19</t>
        </is>
      </c>
      <c r="X1062" t="inlineStr">
        <is>
          <t>2001-04-19</t>
        </is>
      </c>
      <c r="Y1062" t="n">
        <v>61</v>
      </c>
      <c r="Z1062" t="n">
        <v>53</v>
      </c>
      <c r="AA1062" t="n">
        <v>59</v>
      </c>
      <c r="AB1062" t="n">
        <v>2</v>
      </c>
      <c r="AC1062" t="n">
        <v>2</v>
      </c>
      <c r="AD1062" t="n">
        <v>3</v>
      </c>
      <c r="AE1062" t="n">
        <v>3</v>
      </c>
      <c r="AF1062" t="n">
        <v>0</v>
      </c>
      <c r="AG1062" t="n">
        <v>0</v>
      </c>
      <c r="AH1062" t="n">
        <v>0</v>
      </c>
      <c r="AI1062" t="n">
        <v>0</v>
      </c>
      <c r="AJ1062" t="n">
        <v>3</v>
      </c>
      <c r="AK1062" t="n">
        <v>3</v>
      </c>
      <c r="AL1062" t="n">
        <v>0</v>
      </c>
      <c r="AM1062" t="n">
        <v>0</v>
      </c>
      <c r="AN1062" t="n">
        <v>0</v>
      </c>
      <c r="AO1062" t="n">
        <v>0</v>
      </c>
      <c r="AP1062" t="inlineStr">
        <is>
          <t>No</t>
        </is>
      </c>
      <c r="AQ1062" t="inlineStr">
        <is>
          <t>Yes</t>
        </is>
      </c>
      <c r="AR1062">
        <f>HYPERLINK("http://catalog.hathitrust.org/Record/007051122","HathiTrust Record")</f>
        <v/>
      </c>
      <c r="AS1062">
        <f>HYPERLINK("https://creighton-primo.hosted.exlibrisgroup.com/primo-explore/search?tab=default_tab&amp;search_scope=EVERYTHING&amp;vid=01CRU&amp;lang=en_US&amp;offset=0&amp;query=any,contains,991003527369702656","Catalog Record")</f>
        <v/>
      </c>
      <c r="AT1062">
        <f>HYPERLINK("http://www.worldcat.org/oclc/46354634","WorldCat Record")</f>
        <v/>
      </c>
      <c r="AU1062" t="inlineStr">
        <is>
          <t>372579664:eng</t>
        </is>
      </c>
      <c r="AV1062" t="inlineStr">
        <is>
          <t>46354634</t>
        </is>
      </c>
      <c r="AW1062" t="inlineStr">
        <is>
          <t>991003527369702656</t>
        </is>
      </c>
      <c r="AX1062" t="inlineStr">
        <is>
          <t>991003527369702656</t>
        </is>
      </c>
      <c r="AY1062" t="inlineStr">
        <is>
          <t>2263770780002656</t>
        </is>
      </c>
      <c r="AZ1062" t="inlineStr">
        <is>
          <t>BOOK</t>
        </is>
      </c>
      <c r="BB1062" t="inlineStr">
        <is>
          <t>9780867164183</t>
        </is>
      </c>
      <c r="BC1062" t="inlineStr">
        <is>
          <t>32285004313721</t>
        </is>
      </c>
      <c r="BD1062" t="inlineStr">
        <is>
          <t>893524899</t>
        </is>
      </c>
    </row>
    <row r="1063">
      <c r="A1063" t="inlineStr">
        <is>
          <t>No</t>
        </is>
      </c>
      <c r="B1063" t="inlineStr">
        <is>
          <t>BV652.95 .B33 1984</t>
        </is>
      </c>
      <c r="C1063" t="inlineStr">
        <is>
          <t>0                      BV 0652950B  33          1984</t>
        </is>
      </c>
      <c r="D1063" t="inlineStr">
        <is>
          <t>Media--wasteland or wonderland : opportunities and dangers for Christians in the electronic age / John W. Bachman ; foreword by Martin E. Marty.</t>
        </is>
      </c>
      <c r="F1063" t="inlineStr">
        <is>
          <t>No</t>
        </is>
      </c>
      <c r="G1063" t="inlineStr">
        <is>
          <t>1</t>
        </is>
      </c>
      <c r="H1063" t="inlineStr">
        <is>
          <t>No</t>
        </is>
      </c>
      <c r="I1063" t="inlineStr">
        <is>
          <t>No</t>
        </is>
      </c>
      <c r="J1063" t="inlineStr">
        <is>
          <t>0</t>
        </is>
      </c>
      <c r="K1063" t="inlineStr">
        <is>
          <t>Bachman, John W.</t>
        </is>
      </c>
      <c r="L1063" t="inlineStr">
        <is>
          <t>Minneapolis : Augsburg Pub. House, c1984.</t>
        </is>
      </c>
      <c r="M1063" t="inlineStr">
        <is>
          <t>1984</t>
        </is>
      </c>
      <c r="O1063" t="inlineStr">
        <is>
          <t>eng</t>
        </is>
      </c>
      <c r="P1063" t="inlineStr">
        <is>
          <t>mnu</t>
        </is>
      </c>
      <c r="R1063" t="inlineStr">
        <is>
          <t xml:space="preserve">BV </t>
        </is>
      </c>
      <c r="S1063" t="n">
        <v>3</v>
      </c>
      <c r="T1063" t="n">
        <v>3</v>
      </c>
      <c r="U1063" t="inlineStr">
        <is>
          <t>1998-10-18</t>
        </is>
      </c>
      <c r="V1063" t="inlineStr">
        <is>
          <t>1998-10-18</t>
        </is>
      </c>
      <c r="W1063" t="inlineStr">
        <is>
          <t>1992-01-13</t>
        </is>
      </c>
      <c r="X1063" t="inlineStr">
        <is>
          <t>1992-01-13</t>
        </is>
      </c>
      <c r="Y1063" t="n">
        <v>179</v>
      </c>
      <c r="Z1063" t="n">
        <v>165</v>
      </c>
      <c r="AA1063" t="n">
        <v>167</v>
      </c>
      <c r="AB1063" t="n">
        <v>2</v>
      </c>
      <c r="AC1063" t="n">
        <v>2</v>
      </c>
      <c r="AD1063" t="n">
        <v>5</v>
      </c>
      <c r="AE1063" t="n">
        <v>5</v>
      </c>
      <c r="AF1063" t="n">
        <v>0</v>
      </c>
      <c r="AG1063" t="n">
        <v>0</v>
      </c>
      <c r="AH1063" t="n">
        <v>0</v>
      </c>
      <c r="AI1063" t="n">
        <v>0</v>
      </c>
      <c r="AJ1063" t="n">
        <v>4</v>
      </c>
      <c r="AK1063" t="n">
        <v>4</v>
      </c>
      <c r="AL1063" t="n">
        <v>1</v>
      </c>
      <c r="AM1063" t="n">
        <v>1</v>
      </c>
      <c r="AN1063" t="n">
        <v>0</v>
      </c>
      <c r="AO1063" t="n">
        <v>0</v>
      </c>
      <c r="AP1063" t="inlineStr">
        <is>
          <t>No</t>
        </is>
      </c>
      <c r="AQ1063" t="inlineStr">
        <is>
          <t>Yes</t>
        </is>
      </c>
      <c r="AR1063">
        <f>HYPERLINK("http://catalog.hathitrust.org/Record/000409579","HathiTrust Record")</f>
        <v/>
      </c>
      <c r="AS1063">
        <f>HYPERLINK("https://creighton-primo.hosted.exlibrisgroup.com/primo-explore/search?tab=default_tab&amp;search_scope=EVERYTHING&amp;vid=01CRU&amp;lang=en_US&amp;offset=0&amp;query=any,contains,991000535189702656","Catalog Record")</f>
        <v/>
      </c>
      <c r="AT1063">
        <f>HYPERLINK("http://www.worldcat.org/oclc/11444108","WorldCat Record")</f>
        <v/>
      </c>
      <c r="AU1063" t="inlineStr">
        <is>
          <t>373971911:eng</t>
        </is>
      </c>
      <c r="AV1063" t="inlineStr">
        <is>
          <t>11444108</t>
        </is>
      </c>
      <c r="AW1063" t="inlineStr">
        <is>
          <t>991000535189702656</t>
        </is>
      </c>
      <c r="AX1063" t="inlineStr">
        <is>
          <t>991000535189702656</t>
        </is>
      </c>
      <c r="AY1063" t="inlineStr">
        <is>
          <t>2260148370002656</t>
        </is>
      </c>
      <c r="AZ1063" t="inlineStr">
        <is>
          <t>BOOK</t>
        </is>
      </c>
      <c r="BB1063" t="inlineStr">
        <is>
          <t>9780806621166</t>
        </is>
      </c>
      <c r="BC1063" t="inlineStr">
        <is>
          <t>32285000904127</t>
        </is>
      </c>
      <c r="BD1063" t="inlineStr">
        <is>
          <t>893620562</t>
        </is>
      </c>
    </row>
    <row r="1064">
      <c r="A1064" t="inlineStr">
        <is>
          <t>No</t>
        </is>
      </c>
      <c r="B1064" t="inlineStr">
        <is>
          <t>BV652.95 .C365 1984</t>
        </is>
      </c>
      <c r="C1064" t="inlineStr">
        <is>
          <t>0                      BV 0652950C  365         1984</t>
        </is>
      </c>
      <c r="D1064" t="inlineStr">
        <is>
          <t>Mass media Christianity : televangelism and the great commission / by Jerry D. Cardwell ; with contributions by Jack L. Thorpe ; afterword by John Loving.</t>
        </is>
      </c>
      <c r="F1064" t="inlineStr">
        <is>
          <t>No</t>
        </is>
      </c>
      <c r="G1064" t="inlineStr">
        <is>
          <t>1</t>
        </is>
      </c>
      <c r="H1064" t="inlineStr">
        <is>
          <t>No</t>
        </is>
      </c>
      <c r="I1064" t="inlineStr">
        <is>
          <t>No</t>
        </is>
      </c>
      <c r="J1064" t="inlineStr">
        <is>
          <t>0</t>
        </is>
      </c>
      <c r="K1064" t="inlineStr">
        <is>
          <t>Cardwell, J. D. (Jerry Delmas)</t>
        </is>
      </c>
      <c r="L1064" t="inlineStr">
        <is>
          <t>Lanham, MD : University Press of America, c1984.</t>
        </is>
      </c>
      <c r="M1064" t="inlineStr">
        <is>
          <t>1984</t>
        </is>
      </c>
      <c r="O1064" t="inlineStr">
        <is>
          <t>eng</t>
        </is>
      </c>
      <c r="P1064" t="inlineStr">
        <is>
          <t>mdu</t>
        </is>
      </c>
      <c r="R1064" t="inlineStr">
        <is>
          <t xml:space="preserve">BV </t>
        </is>
      </c>
      <c r="S1064" t="n">
        <v>3</v>
      </c>
      <c r="T1064" t="n">
        <v>3</v>
      </c>
      <c r="U1064" t="inlineStr">
        <is>
          <t>2009-12-02</t>
        </is>
      </c>
      <c r="V1064" t="inlineStr">
        <is>
          <t>2009-12-02</t>
        </is>
      </c>
      <c r="W1064" t="inlineStr">
        <is>
          <t>1992-01-13</t>
        </is>
      </c>
      <c r="X1064" t="inlineStr">
        <is>
          <t>1992-01-13</t>
        </is>
      </c>
      <c r="Y1064" t="n">
        <v>289</v>
      </c>
      <c r="Z1064" t="n">
        <v>254</v>
      </c>
      <c r="AA1064" t="n">
        <v>261</v>
      </c>
      <c r="AB1064" t="n">
        <v>3</v>
      </c>
      <c r="AC1064" t="n">
        <v>3</v>
      </c>
      <c r="AD1064" t="n">
        <v>10</v>
      </c>
      <c r="AE1064" t="n">
        <v>10</v>
      </c>
      <c r="AF1064" t="n">
        <v>2</v>
      </c>
      <c r="AG1064" t="n">
        <v>2</v>
      </c>
      <c r="AH1064" t="n">
        <v>1</v>
      </c>
      <c r="AI1064" t="n">
        <v>1</v>
      </c>
      <c r="AJ1064" t="n">
        <v>6</v>
      </c>
      <c r="AK1064" t="n">
        <v>6</v>
      </c>
      <c r="AL1064" t="n">
        <v>2</v>
      </c>
      <c r="AM1064" t="n">
        <v>2</v>
      </c>
      <c r="AN1064" t="n">
        <v>0</v>
      </c>
      <c r="AO1064" t="n">
        <v>0</v>
      </c>
      <c r="AP1064" t="inlineStr">
        <is>
          <t>No</t>
        </is>
      </c>
      <c r="AQ1064" t="inlineStr">
        <is>
          <t>Yes</t>
        </is>
      </c>
      <c r="AR1064">
        <f>HYPERLINK("http://catalog.hathitrust.org/Record/000604278","HathiTrust Record")</f>
        <v/>
      </c>
      <c r="AS1064">
        <f>HYPERLINK("https://creighton-primo.hosted.exlibrisgroup.com/primo-explore/search?tab=default_tab&amp;search_scope=EVERYTHING&amp;vid=01CRU&amp;lang=en_US&amp;offset=0&amp;query=any,contains,991000493379702656","Catalog Record")</f>
        <v/>
      </c>
      <c r="AT1064">
        <f>HYPERLINK("http://www.worldcat.org/oclc/11114642","WorldCat Record")</f>
        <v/>
      </c>
      <c r="AU1064" t="inlineStr">
        <is>
          <t>859140391:eng</t>
        </is>
      </c>
      <c r="AV1064" t="inlineStr">
        <is>
          <t>11114642</t>
        </is>
      </c>
      <c r="AW1064" t="inlineStr">
        <is>
          <t>991000493379702656</t>
        </is>
      </c>
      <c r="AX1064" t="inlineStr">
        <is>
          <t>991000493379702656</t>
        </is>
      </c>
      <c r="AY1064" t="inlineStr">
        <is>
          <t>2258762500002656</t>
        </is>
      </c>
      <c r="AZ1064" t="inlineStr">
        <is>
          <t>BOOK</t>
        </is>
      </c>
      <c r="BB1064" t="inlineStr">
        <is>
          <t>9780819143242</t>
        </is>
      </c>
      <c r="BC1064" t="inlineStr">
        <is>
          <t>32285000904135</t>
        </is>
      </c>
      <c r="BD1064" t="inlineStr">
        <is>
          <t>893589495</t>
        </is>
      </c>
    </row>
    <row r="1065">
      <c r="A1065" t="inlineStr">
        <is>
          <t>No</t>
        </is>
      </c>
      <c r="B1065" t="inlineStr">
        <is>
          <t>BV652.95 .I5 1986</t>
        </is>
      </c>
      <c r="C1065" t="inlineStr">
        <is>
          <t>0                      BV 0652950I  5           1986</t>
        </is>
      </c>
      <c r="D1065" t="inlineStr">
        <is>
          <t>In the sight of all : communications, a vision all can share / Administrative Board, United States Catholic Conference ; design by Monika Rokus ; computer graphics by Robert Pulgino.</t>
        </is>
      </c>
      <c r="F1065" t="inlineStr">
        <is>
          <t>No</t>
        </is>
      </c>
      <c r="G1065" t="inlineStr">
        <is>
          <t>1</t>
        </is>
      </c>
      <c r="H1065" t="inlineStr">
        <is>
          <t>No</t>
        </is>
      </c>
      <c r="I1065" t="inlineStr">
        <is>
          <t>No</t>
        </is>
      </c>
      <c r="J1065" t="inlineStr">
        <is>
          <t>0</t>
        </is>
      </c>
      <c r="L1065" t="inlineStr">
        <is>
          <t>Washington, D.C. : Office of Publishing and Promotion Services, United States Catholic Conference, c1986.</t>
        </is>
      </c>
      <c r="M1065" t="inlineStr">
        <is>
          <t>1986</t>
        </is>
      </c>
      <c r="O1065" t="inlineStr">
        <is>
          <t>eng</t>
        </is>
      </c>
      <c r="P1065" t="inlineStr">
        <is>
          <t>dcu</t>
        </is>
      </c>
      <c r="Q1065" t="inlineStr">
        <is>
          <t>Publication / United States Catholic Conference. Office of Publishing and Promotion Services ; no. 118</t>
        </is>
      </c>
      <c r="R1065" t="inlineStr">
        <is>
          <t xml:space="preserve">BV </t>
        </is>
      </c>
      <c r="S1065" t="n">
        <v>1</v>
      </c>
      <c r="T1065" t="n">
        <v>1</v>
      </c>
      <c r="U1065" t="inlineStr">
        <is>
          <t>1998-10-18</t>
        </is>
      </c>
      <c r="V1065" t="inlineStr">
        <is>
          <t>1998-10-18</t>
        </is>
      </c>
      <c r="W1065" t="inlineStr">
        <is>
          <t>1992-01-13</t>
        </is>
      </c>
      <c r="X1065" t="inlineStr">
        <is>
          <t>1992-01-13</t>
        </is>
      </c>
      <c r="Y1065" t="n">
        <v>81</v>
      </c>
      <c r="Z1065" t="n">
        <v>78</v>
      </c>
      <c r="AA1065" t="n">
        <v>78</v>
      </c>
      <c r="AB1065" t="n">
        <v>1</v>
      </c>
      <c r="AC1065" t="n">
        <v>1</v>
      </c>
      <c r="AD1065" t="n">
        <v>13</v>
      </c>
      <c r="AE1065" t="n">
        <v>13</v>
      </c>
      <c r="AF1065" t="n">
        <v>3</v>
      </c>
      <c r="AG1065" t="n">
        <v>3</v>
      </c>
      <c r="AH1065" t="n">
        <v>2</v>
      </c>
      <c r="AI1065" t="n">
        <v>2</v>
      </c>
      <c r="AJ1065" t="n">
        <v>12</v>
      </c>
      <c r="AK1065" t="n">
        <v>12</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HYPERLINK("https://creighton-primo.hosted.exlibrisgroup.com/primo-explore/search?tab=default_tab&amp;search_scope=EVERYTHING&amp;vid=01CRU&amp;lang=en_US&amp;offset=0&amp;query=any,contains,991000974099702656","Catalog Record")</f>
        <v/>
      </c>
      <c r="AT1065">
        <f>HYPERLINK("http://www.worldcat.org/oclc/14984914","WorldCat Record")</f>
        <v/>
      </c>
      <c r="AU1065" t="inlineStr">
        <is>
          <t>9064127:eng</t>
        </is>
      </c>
      <c r="AV1065" t="inlineStr">
        <is>
          <t>14984914</t>
        </is>
      </c>
      <c r="AW1065" t="inlineStr">
        <is>
          <t>991000974099702656</t>
        </is>
      </c>
      <c r="AX1065" t="inlineStr">
        <is>
          <t>991000974099702656</t>
        </is>
      </c>
      <c r="AY1065" t="inlineStr">
        <is>
          <t>2270821170002656</t>
        </is>
      </c>
      <c r="AZ1065" t="inlineStr">
        <is>
          <t>BOOK</t>
        </is>
      </c>
      <c r="BC1065" t="inlineStr">
        <is>
          <t>32285000904150</t>
        </is>
      </c>
      <c r="BD1065" t="inlineStr">
        <is>
          <t>893797181</t>
        </is>
      </c>
    </row>
    <row r="1066">
      <c r="A1066" t="inlineStr">
        <is>
          <t>No</t>
        </is>
      </c>
      <c r="B1066" t="inlineStr">
        <is>
          <t>BV656 .A75 1979</t>
        </is>
      </c>
      <c r="C1066" t="inlineStr">
        <is>
          <t>0                      BV 0656000A  75          1979</t>
        </is>
      </c>
      <c r="D1066" t="inlineStr">
        <is>
          <t>The electric church / by Ben Armstrong.</t>
        </is>
      </c>
      <c r="F1066" t="inlineStr">
        <is>
          <t>No</t>
        </is>
      </c>
      <c r="G1066" t="inlineStr">
        <is>
          <t>1</t>
        </is>
      </c>
      <c r="H1066" t="inlineStr">
        <is>
          <t>No</t>
        </is>
      </c>
      <c r="I1066" t="inlineStr">
        <is>
          <t>No</t>
        </is>
      </c>
      <c r="J1066" t="inlineStr">
        <is>
          <t>0</t>
        </is>
      </c>
      <c r="K1066" t="inlineStr">
        <is>
          <t>Armstrong, Ben.</t>
        </is>
      </c>
      <c r="L1066" t="inlineStr">
        <is>
          <t>Nashville : T. Nelson, c1979.</t>
        </is>
      </c>
      <c r="M1066" t="inlineStr">
        <is>
          <t>1979</t>
        </is>
      </c>
      <c r="O1066" t="inlineStr">
        <is>
          <t>eng</t>
        </is>
      </c>
      <c r="P1066" t="inlineStr">
        <is>
          <t>tnu</t>
        </is>
      </c>
      <c r="R1066" t="inlineStr">
        <is>
          <t xml:space="preserve">BV </t>
        </is>
      </c>
      <c r="S1066" t="n">
        <v>2</v>
      </c>
      <c r="T1066" t="n">
        <v>2</v>
      </c>
      <c r="U1066" t="inlineStr">
        <is>
          <t>1996-03-03</t>
        </is>
      </c>
      <c r="V1066" t="inlineStr">
        <is>
          <t>1996-03-03</t>
        </is>
      </c>
      <c r="W1066" t="inlineStr">
        <is>
          <t>1990-11-20</t>
        </is>
      </c>
      <c r="X1066" t="inlineStr">
        <is>
          <t>1990-11-20</t>
        </is>
      </c>
      <c r="Y1066" t="n">
        <v>369</v>
      </c>
      <c r="Z1066" t="n">
        <v>339</v>
      </c>
      <c r="AA1066" t="n">
        <v>341</v>
      </c>
      <c r="AB1066" t="n">
        <v>3</v>
      </c>
      <c r="AC1066" t="n">
        <v>3</v>
      </c>
      <c r="AD1066" t="n">
        <v>10</v>
      </c>
      <c r="AE1066" t="n">
        <v>10</v>
      </c>
      <c r="AF1066" t="n">
        <v>4</v>
      </c>
      <c r="AG1066" t="n">
        <v>4</v>
      </c>
      <c r="AH1066" t="n">
        <v>0</v>
      </c>
      <c r="AI1066" t="n">
        <v>0</v>
      </c>
      <c r="AJ1066" t="n">
        <v>4</v>
      </c>
      <c r="AK1066" t="n">
        <v>4</v>
      </c>
      <c r="AL1066" t="n">
        <v>2</v>
      </c>
      <c r="AM1066" t="n">
        <v>2</v>
      </c>
      <c r="AN1066" t="n">
        <v>0</v>
      </c>
      <c r="AO1066" t="n">
        <v>0</v>
      </c>
      <c r="AP1066" t="inlineStr">
        <is>
          <t>No</t>
        </is>
      </c>
      <c r="AQ1066" t="inlineStr">
        <is>
          <t>Yes</t>
        </is>
      </c>
      <c r="AR1066">
        <f>HYPERLINK("http://catalog.hathitrust.org/Record/101992472","HathiTrust Record")</f>
        <v/>
      </c>
      <c r="AS1066">
        <f>HYPERLINK("https://creighton-primo.hosted.exlibrisgroup.com/primo-explore/search?tab=default_tab&amp;search_scope=EVERYTHING&amp;vid=01CRU&amp;lang=en_US&amp;offset=0&amp;query=any,contains,991004686279702656","Catalog Record")</f>
        <v/>
      </c>
      <c r="AT1066">
        <f>HYPERLINK("http://www.worldcat.org/oclc/4593116","WorldCat Record")</f>
        <v/>
      </c>
      <c r="AU1066" t="inlineStr">
        <is>
          <t>3858570089:eng</t>
        </is>
      </c>
      <c r="AV1066" t="inlineStr">
        <is>
          <t>4593116</t>
        </is>
      </c>
      <c r="AW1066" t="inlineStr">
        <is>
          <t>991004686279702656</t>
        </is>
      </c>
      <c r="AX1066" t="inlineStr">
        <is>
          <t>991004686279702656</t>
        </is>
      </c>
      <c r="AY1066" t="inlineStr">
        <is>
          <t>2271091630002656</t>
        </is>
      </c>
      <c r="AZ1066" t="inlineStr">
        <is>
          <t>BOOK</t>
        </is>
      </c>
      <c r="BB1066" t="inlineStr">
        <is>
          <t>9780840751577</t>
        </is>
      </c>
      <c r="BC1066" t="inlineStr">
        <is>
          <t>32285000297159</t>
        </is>
      </c>
      <c r="BD1066" t="inlineStr">
        <is>
          <t>893507118</t>
        </is>
      </c>
    </row>
    <row r="1067">
      <c r="A1067" t="inlineStr">
        <is>
          <t>No</t>
        </is>
      </c>
      <c r="B1067" t="inlineStr">
        <is>
          <t>BV656 .M365 1995</t>
        </is>
      </c>
      <c r="C1067" t="inlineStr">
        <is>
          <t>0                      BV 0656000M  365         1995</t>
        </is>
      </c>
      <c r="D1067" t="inlineStr">
        <is>
          <t>Vatican Radio : propagation by the airwaves / Marilyn J. Matelski.</t>
        </is>
      </c>
      <c r="F1067" t="inlineStr">
        <is>
          <t>No</t>
        </is>
      </c>
      <c r="G1067" t="inlineStr">
        <is>
          <t>1</t>
        </is>
      </c>
      <c r="H1067" t="inlineStr">
        <is>
          <t>No</t>
        </is>
      </c>
      <c r="I1067" t="inlineStr">
        <is>
          <t>No</t>
        </is>
      </c>
      <c r="J1067" t="inlineStr">
        <is>
          <t>0</t>
        </is>
      </c>
      <c r="K1067" t="inlineStr">
        <is>
          <t>Matelski, Marilyn J., 1950-</t>
        </is>
      </c>
      <c r="L1067" t="inlineStr">
        <is>
          <t>Westport, Conn. : Praeger, 1995.</t>
        </is>
      </c>
      <c r="M1067" t="inlineStr">
        <is>
          <t>1995</t>
        </is>
      </c>
      <c r="O1067" t="inlineStr">
        <is>
          <t>eng</t>
        </is>
      </c>
      <c r="P1067" t="inlineStr">
        <is>
          <t>ctu</t>
        </is>
      </c>
      <c r="Q1067" t="inlineStr">
        <is>
          <t>Media and society series, 0890-7161</t>
        </is>
      </c>
      <c r="R1067" t="inlineStr">
        <is>
          <t xml:space="preserve">BV </t>
        </is>
      </c>
      <c r="S1067" t="n">
        <v>2</v>
      </c>
      <c r="T1067" t="n">
        <v>2</v>
      </c>
      <c r="U1067" t="inlineStr">
        <is>
          <t>1998-11-10</t>
        </is>
      </c>
      <c r="V1067" t="inlineStr">
        <is>
          <t>1998-11-10</t>
        </is>
      </c>
      <c r="W1067" t="inlineStr">
        <is>
          <t>1997-01-28</t>
        </is>
      </c>
      <c r="X1067" t="inlineStr">
        <is>
          <t>1997-01-28</t>
        </is>
      </c>
      <c r="Y1067" t="n">
        <v>273</v>
      </c>
      <c r="Z1067" t="n">
        <v>224</v>
      </c>
      <c r="AA1067" t="n">
        <v>226</v>
      </c>
      <c r="AB1067" t="n">
        <v>3</v>
      </c>
      <c r="AC1067" t="n">
        <v>3</v>
      </c>
      <c r="AD1067" t="n">
        <v>23</v>
      </c>
      <c r="AE1067" t="n">
        <v>23</v>
      </c>
      <c r="AF1067" t="n">
        <v>8</v>
      </c>
      <c r="AG1067" t="n">
        <v>8</v>
      </c>
      <c r="AH1067" t="n">
        <v>5</v>
      </c>
      <c r="AI1067" t="n">
        <v>5</v>
      </c>
      <c r="AJ1067" t="n">
        <v>15</v>
      </c>
      <c r="AK1067" t="n">
        <v>15</v>
      </c>
      <c r="AL1067" t="n">
        <v>2</v>
      </c>
      <c r="AM1067" t="n">
        <v>2</v>
      </c>
      <c r="AN1067" t="n">
        <v>0</v>
      </c>
      <c r="AO1067" t="n">
        <v>0</v>
      </c>
      <c r="AP1067" t="inlineStr">
        <is>
          <t>No</t>
        </is>
      </c>
      <c r="AQ1067" t="inlineStr">
        <is>
          <t>Yes</t>
        </is>
      </c>
      <c r="AR1067">
        <f>HYPERLINK("http://catalog.hathitrust.org/Record/002952637","HathiTrust Record")</f>
        <v/>
      </c>
      <c r="AS1067">
        <f>HYPERLINK("https://creighton-primo.hosted.exlibrisgroup.com/primo-explore/search?tab=default_tab&amp;search_scope=EVERYTHING&amp;vid=01CRU&amp;lang=en_US&amp;offset=0&amp;query=any,contains,991002373689702656","Catalog Record")</f>
        <v/>
      </c>
      <c r="AT1067">
        <f>HYPERLINK("http://www.worldcat.org/oclc/30892540","WorldCat Record")</f>
        <v/>
      </c>
      <c r="AU1067" t="inlineStr">
        <is>
          <t>2573128:eng</t>
        </is>
      </c>
      <c r="AV1067" t="inlineStr">
        <is>
          <t>30892540</t>
        </is>
      </c>
      <c r="AW1067" t="inlineStr">
        <is>
          <t>991002373689702656</t>
        </is>
      </c>
      <c r="AX1067" t="inlineStr">
        <is>
          <t>991002373689702656</t>
        </is>
      </c>
      <c r="AY1067" t="inlineStr">
        <is>
          <t>2270202310002656</t>
        </is>
      </c>
      <c r="AZ1067" t="inlineStr">
        <is>
          <t>BOOK</t>
        </is>
      </c>
      <c r="BB1067" t="inlineStr">
        <is>
          <t>9780275947606</t>
        </is>
      </c>
      <c r="BC1067" t="inlineStr">
        <is>
          <t>32285002412145</t>
        </is>
      </c>
      <c r="BD1067" t="inlineStr">
        <is>
          <t>893433803</t>
        </is>
      </c>
    </row>
    <row r="1068">
      <c r="A1068" t="inlineStr">
        <is>
          <t>No</t>
        </is>
      </c>
      <c r="B1068" t="inlineStr">
        <is>
          <t>BV656.3 .B55</t>
        </is>
      </c>
      <c r="C1068" t="inlineStr">
        <is>
          <t>0                      BV 0656300B  55</t>
        </is>
      </c>
      <c r="D1068" t="inlineStr">
        <is>
          <t>Religious television programs : a study of relevance / by A. William Bluem.</t>
        </is>
      </c>
      <c r="F1068" t="inlineStr">
        <is>
          <t>No</t>
        </is>
      </c>
      <c r="G1068" t="inlineStr">
        <is>
          <t>1</t>
        </is>
      </c>
      <c r="H1068" t="inlineStr">
        <is>
          <t>No</t>
        </is>
      </c>
      <c r="I1068" t="inlineStr">
        <is>
          <t>No</t>
        </is>
      </c>
      <c r="J1068" t="inlineStr">
        <is>
          <t>0</t>
        </is>
      </c>
      <c r="K1068" t="inlineStr">
        <is>
          <t>Bluem, A. William.</t>
        </is>
      </c>
      <c r="L1068" t="inlineStr">
        <is>
          <t>New York, Hastings House [1969]</t>
        </is>
      </c>
      <c r="M1068" t="inlineStr">
        <is>
          <t>1969</t>
        </is>
      </c>
      <c r="O1068" t="inlineStr">
        <is>
          <t>eng</t>
        </is>
      </c>
      <c r="P1068" t="inlineStr">
        <is>
          <t>nyu</t>
        </is>
      </c>
      <c r="Q1068" t="inlineStr">
        <is>
          <t>Communication arts books</t>
        </is>
      </c>
      <c r="R1068" t="inlineStr">
        <is>
          <t xml:space="preserve">BV </t>
        </is>
      </c>
      <c r="S1068" t="n">
        <v>3</v>
      </c>
      <c r="T1068" t="n">
        <v>3</v>
      </c>
      <c r="U1068" t="inlineStr">
        <is>
          <t>1996-03-03</t>
        </is>
      </c>
      <c r="V1068" t="inlineStr">
        <is>
          <t>1996-03-03</t>
        </is>
      </c>
      <c r="W1068" t="inlineStr">
        <is>
          <t>1992-01-13</t>
        </is>
      </c>
      <c r="X1068" t="inlineStr">
        <is>
          <t>1992-01-13</t>
        </is>
      </c>
      <c r="Y1068" t="n">
        <v>543</v>
      </c>
      <c r="Z1068" t="n">
        <v>489</v>
      </c>
      <c r="AA1068" t="n">
        <v>496</v>
      </c>
      <c r="AB1068" t="n">
        <v>5</v>
      </c>
      <c r="AC1068" t="n">
        <v>5</v>
      </c>
      <c r="AD1068" t="n">
        <v>29</v>
      </c>
      <c r="AE1068" t="n">
        <v>29</v>
      </c>
      <c r="AF1068" t="n">
        <v>13</v>
      </c>
      <c r="AG1068" t="n">
        <v>13</v>
      </c>
      <c r="AH1068" t="n">
        <v>5</v>
      </c>
      <c r="AI1068" t="n">
        <v>5</v>
      </c>
      <c r="AJ1068" t="n">
        <v>14</v>
      </c>
      <c r="AK1068" t="n">
        <v>14</v>
      </c>
      <c r="AL1068" t="n">
        <v>4</v>
      </c>
      <c r="AM1068" t="n">
        <v>4</v>
      </c>
      <c r="AN1068" t="n">
        <v>0</v>
      </c>
      <c r="AO1068" t="n">
        <v>0</v>
      </c>
      <c r="AP1068" t="inlineStr">
        <is>
          <t>No</t>
        </is>
      </c>
      <c r="AQ1068" t="inlineStr">
        <is>
          <t>Yes</t>
        </is>
      </c>
      <c r="AR1068">
        <f>HYPERLINK("http://catalog.hathitrust.org/Record/007470245","HathiTrust Record")</f>
        <v/>
      </c>
      <c r="AS1068">
        <f>HYPERLINK("https://creighton-primo.hosted.exlibrisgroup.com/primo-explore/search?tab=default_tab&amp;search_scope=EVERYTHING&amp;vid=01CRU&amp;lang=en_US&amp;offset=0&amp;query=any,contains,991000001979702656","Catalog Record")</f>
        <v/>
      </c>
      <c r="AT1068">
        <f>HYPERLINK("http://www.worldcat.org/oclc/10830","WorldCat Record")</f>
        <v/>
      </c>
      <c r="AU1068" t="inlineStr">
        <is>
          <t>1133923:eng</t>
        </is>
      </c>
      <c r="AV1068" t="inlineStr">
        <is>
          <t>10830</t>
        </is>
      </c>
      <c r="AW1068" t="inlineStr">
        <is>
          <t>991000001979702656</t>
        </is>
      </c>
      <c r="AX1068" t="inlineStr">
        <is>
          <t>991000001979702656</t>
        </is>
      </c>
      <c r="AY1068" t="inlineStr">
        <is>
          <t>2268024730002656</t>
        </is>
      </c>
      <c r="AZ1068" t="inlineStr">
        <is>
          <t>BOOK</t>
        </is>
      </c>
      <c r="BB1068" t="inlineStr">
        <is>
          <t>9780803862982</t>
        </is>
      </c>
      <c r="BC1068" t="inlineStr">
        <is>
          <t>32285000904192</t>
        </is>
      </c>
      <c r="BD1068" t="inlineStr">
        <is>
          <t>893514897</t>
        </is>
      </c>
    </row>
    <row r="1069">
      <c r="A1069" t="inlineStr">
        <is>
          <t>No</t>
        </is>
      </c>
      <c r="B1069" t="inlineStr">
        <is>
          <t>BV656.3 .E49 1987</t>
        </is>
      </c>
      <c r="C1069" t="inlineStr">
        <is>
          <t>0                      BV 0656300E  49          1987</t>
        </is>
      </c>
      <c r="D1069" t="inlineStr">
        <is>
          <t>Buying time : the foundations of the electronic Church / Peter Elvy.</t>
        </is>
      </c>
      <c r="F1069" t="inlineStr">
        <is>
          <t>No</t>
        </is>
      </c>
      <c r="G1069" t="inlineStr">
        <is>
          <t>1</t>
        </is>
      </c>
      <c r="H1069" t="inlineStr">
        <is>
          <t>No</t>
        </is>
      </c>
      <c r="I1069" t="inlineStr">
        <is>
          <t>No</t>
        </is>
      </c>
      <c r="J1069" t="inlineStr">
        <is>
          <t>0</t>
        </is>
      </c>
      <c r="K1069" t="inlineStr">
        <is>
          <t>Elvy, Peter.</t>
        </is>
      </c>
      <c r="L1069" t="inlineStr">
        <is>
          <t>Mystic, Conn. : Twenty-third Publications, 1987.</t>
        </is>
      </c>
      <c r="M1069" t="inlineStr">
        <is>
          <t>1987</t>
        </is>
      </c>
      <c r="N1069" t="inlineStr">
        <is>
          <t>Rev. ed.</t>
        </is>
      </c>
      <c r="O1069" t="inlineStr">
        <is>
          <t>eng</t>
        </is>
      </c>
      <c r="P1069" t="inlineStr">
        <is>
          <t>ctu</t>
        </is>
      </c>
      <c r="R1069" t="inlineStr">
        <is>
          <t xml:space="preserve">BV </t>
        </is>
      </c>
      <c r="S1069" t="n">
        <v>5</v>
      </c>
      <c r="T1069" t="n">
        <v>5</v>
      </c>
      <c r="U1069" t="inlineStr">
        <is>
          <t>2009-09-23</t>
        </is>
      </c>
      <c r="V1069" t="inlineStr">
        <is>
          <t>2009-09-23</t>
        </is>
      </c>
      <c r="W1069" t="inlineStr">
        <is>
          <t>1990-07-13</t>
        </is>
      </c>
      <c r="X1069" t="inlineStr">
        <is>
          <t>1990-07-13</t>
        </is>
      </c>
      <c r="Y1069" t="n">
        <v>112</v>
      </c>
      <c r="Z1069" t="n">
        <v>108</v>
      </c>
      <c r="AA1069" t="n">
        <v>262</v>
      </c>
      <c r="AB1069" t="n">
        <v>2</v>
      </c>
      <c r="AC1069" t="n">
        <v>5</v>
      </c>
      <c r="AD1069" t="n">
        <v>7</v>
      </c>
      <c r="AE1069" t="n">
        <v>14</v>
      </c>
      <c r="AF1069" t="n">
        <v>3</v>
      </c>
      <c r="AG1069" t="n">
        <v>4</v>
      </c>
      <c r="AH1069" t="n">
        <v>0</v>
      </c>
      <c r="AI1069" t="n">
        <v>1</v>
      </c>
      <c r="AJ1069" t="n">
        <v>3</v>
      </c>
      <c r="AK1069" t="n">
        <v>7</v>
      </c>
      <c r="AL1069" t="n">
        <v>1</v>
      </c>
      <c r="AM1069" t="n">
        <v>4</v>
      </c>
      <c r="AN1069" t="n">
        <v>0</v>
      </c>
      <c r="AO1069" t="n">
        <v>0</v>
      </c>
      <c r="AP1069" t="inlineStr">
        <is>
          <t>No</t>
        </is>
      </c>
      <c r="AQ1069" t="inlineStr">
        <is>
          <t>Yes</t>
        </is>
      </c>
      <c r="AR1069">
        <f>HYPERLINK("http://catalog.hathitrust.org/Record/009919684","HathiTrust Record")</f>
        <v/>
      </c>
      <c r="AS1069">
        <f>HYPERLINK("https://creighton-primo.hosted.exlibrisgroup.com/primo-explore/search?tab=default_tab&amp;search_scope=EVERYTHING&amp;vid=01CRU&amp;lang=en_US&amp;offset=0&amp;query=any,contains,991001066889702656","Catalog Record")</f>
        <v/>
      </c>
      <c r="AT1069">
        <f>HYPERLINK("http://www.worldcat.org/oclc/15795293","WorldCat Record")</f>
        <v/>
      </c>
      <c r="AU1069" t="inlineStr">
        <is>
          <t>836674303:eng</t>
        </is>
      </c>
      <c r="AV1069" t="inlineStr">
        <is>
          <t>15795293</t>
        </is>
      </c>
      <c r="AW1069" t="inlineStr">
        <is>
          <t>991001066889702656</t>
        </is>
      </c>
      <c r="AX1069" t="inlineStr">
        <is>
          <t>991001066889702656</t>
        </is>
      </c>
      <c r="AY1069" t="inlineStr">
        <is>
          <t>2261901720002656</t>
        </is>
      </c>
      <c r="AZ1069" t="inlineStr">
        <is>
          <t>BOOK</t>
        </is>
      </c>
      <c r="BB1069" t="inlineStr">
        <is>
          <t>9780896223257</t>
        </is>
      </c>
      <c r="BC1069" t="inlineStr">
        <is>
          <t>32285000236819</t>
        </is>
      </c>
      <c r="BD1069" t="inlineStr">
        <is>
          <t>893255977</t>
        </is>
      </c>
    </row>
    <row r="1070">
      <c r="A1070" t="inlineStr">
        <is>
          <t>No</t>
        </is>
      </c>
      <c r="B1070" t="inlineStr">
        <is>
          <t>BV656.3 .H66 1988</t>
        </is>
      </c>
      <c r="C1070" t="inlineStr">
        <is>
          <t>0                      BV 0656300H  66          1988</t>
        </is>
      </c>
      <c r="D1070" t="inlineStr">
        <is>
          <t>Mass media religion : the social sources of the electronic church / Stewart M. Hoover.</t>
        </is>
      </c>
      <c r="F1070" t="inlineStr">
        <is>
          <t>No</t>
        </is>
      </c>
      <c r="G1070" t="inlineStr">
        <is>
          <t>1</t>
        </is>
      </c>
      <c r="H1070" t="inlineStr">
        <is>
          <t>No</t>
        </is>
      </c>
      <c r="I1070" t="inlineStr">
        <is>
          <t>No</t>
        </is>
      </c>
      <c r="J1070" t="inlineStr">
        <is>
          <t>0</t>
        </is>
      </c>
      <c r="K1070" t="inlineStr">
        <is>
          <t>Hoover, Stewart M.</t>
        </is>
      </c>
      <c r="L1070" t="inlineStr">
        <is>
          <t>Newbury Park, Calif. : Sage Publications, c1988.</t>
        </is>
      </c>
      <c r="M1070" t="inlineStr">
        <is>
          <t>1988</t>
        </is>
      </c>
      <c r="O1070" t="inlineStr">
        <is>
          <t>eng</t>
        </is>
      </c>
      <c r="P1070" t="inlineStr">
        <is>
          <t>cau</t>
        </is>
      </c>
      <c r="Q1070" t="inlineStr">
        <is>
          <t>Communication and human values</t>
        </is>
      </c>
      <c r="R1070" t="inlineStr">
        <is>
          <t xml:space="preserve">BV </t>
        </is>
      </c>
      <c r="S1070" t="n">
        <v>6</v>
      </c>
      <c r="T1070" t="n">
        <v>6</v>
      </c>
      <c r="U1070" t="inlineStr">
        <is>
          <t>2009-12-02</t>
        </is>
      </c>
      <c r="V1070" t="inlineStr">
        <is>
          <t>2009-12-02</t>
        </is>
      </c>
      <c r="W1070" t="inlineStr">
        <is>
          <t>1989-12-18</t>
        </is>
      </c>
      <c r="X1070" t="inlineStr">
        <is>
          <t>1989-12-18</t>
        </is>
      </c>
      <c r="Y1070" t="n">
        <v>786</v>
      </c>
      <c r="Z1070" t="n">
        <v>630</v>
      </c>
      <c r="AA1070" t="n">
        <v>638</v>
      </c>
      <c r="AB1070" t="n">
        <v>6</v>
      </c>
      <c r="AC1070" t="n">
        <v>6</v>
      </c>
      <c r="AD1070" t="n">
        <v>33</v>
      </c>
      <c r="AE1070" t="n">
        <v>33</v>
      </c>
      <c r="AF1070" t="n">
        <v>15</v>
      </c>
      <c r="AG1070" t="n">
        <v>15</v>
      </c>
      <c r="AH1070" t="n">
        <v>4</v>
      </c>
      <c r="AI1070" t="n">
        <v>4</v>
      </c>
      <c r="AJ1070" t="n">
        <v>16</v>
      </c>
      <c r="AK1070" t="n">
        <v>16</v>
      </c>
      <c r="AL1070" t="n">
        <v>5</v>
      </c>
      <c r="AM1070" t="n">
        <v>5</v>
      </c>
      <c r="AN1070" t="n">
        <v>1</v>
      </c>
      <c r="AO1070" t="n">
        <v>1</v>
      </c>
      <c r="AP1070" t="inlineStr">
        <is>
          <t>No</t>
        </is>
      </c>
      <c r="AQ1070" t="inlineStr">
        <is>
          <t>Yes</t>
        </is>
      </c>
      <c r="AR1070">
        <f>HYPERLINK("http://catalog.hathitrust.org/Record/001085457","HathiTrust Record")</f>
        <v/>
      </c>
      <c r="AS1070">
        <f>HYPERLINK("https://creighton-primo.hosted.exlibrisgroup.com/primo-explore/search?tab=default_tab&amp;search_scope=EVERYTHING&amp;vid=01CRU&amp;lang=en_US&amp;offset=0&amp;query=any,contains,991001215299702656","Catalog Record")</f>
        <v/>
      </c>
      <c r="AT1070">
        <f>HYPERLINK("http://www.worldcat.org/oclc/17413536","WorldCat Record")</f>
        <v/>
      </c>
      <c r="AU1070" t="inlineStr">
        <is>
          <t>836756547:eng</t>
        </is>
      </c>
      <c r="AV1070" t="inlineStr">
        <is>
          <t>17413536</t>
        </is>
      </c>
      <c r="AW1070" t="inlineStr">
        <is>
          <t>991001215299702656</t>
        </is>
      </c>
      <c r="AX1070" t="inlineStr">
        <is>
          <t>991001215299702656</t>
        </is>
      </c>
      <c r="AY1070" t="inlineStr">
        <is>
          <t>2265163190002656</t>
        </is>
      </c>
      <c r="AZ1070" t="inlineStr">
        <is>
          <t>BOOK</t>
        </is>
      </c>
      <c r="BB1070" t="inlineStr">
        <is>
          <t>9780803929951</t>
        </is>
      </c>
      <c r="BC1070" t="inlineStr">
        <is>
          <t>32285000018415</t>
        </is>
      </c>
      <c r="BD1070" t="inlineStr">
        <is>
          <t>893346339</t>
        </is>
      </c>
    </row>
    <row r="1071">
      <c r="A1071" t="inlineStr">
        <is>
          <t>No</t>
        </is>
      </c>
      <c r="B1071" t="inlineStr">
        <is>
          <t>BV656.3 .H67 1984</t>
        </is>
      </c>
      <c r="C1071" t="inlineStr">
        <is>
          <t>0                      BV 0656300H  67          1984</t>
        </is>
      </c>
      <c r="D1071" t="inlineStr">
        <is>
          <t>Religious television : the American experience / Peter G. Horsfield.</t>
        </is>
      </c>
      <c r="F1071" t="inlineStr">
        <is>
          <t>No</t>
        </is>
      </c>
      <c r="G1071" t="inlineStr">
        <is>
          <t>1</t>
        </is>
      </c>
      <c r="H1071" t="inlineStr">
        <is>
          <t>No</t>
        </is>
      </c>
      <c r="I1071" t="inlineStr">
        <is>
          <t>No</t>
        </is>
      </c>
      <c r="J1071" t="inlineStr">
        <is>
          <t>0</t>
        </is>
      </c>
      <c r="K1071" t="inlineStr">
        <is>
          <t>Horsfield, Peter G.</t>
        </is>
      </c>
      <c r="L1071" t="inlineStr">
        <is>
          <t>New York : Longman, c1984.</t>
        </is>
      </c>
      <c r="M1071" t="inlineStr">
        <is>
          <t>1984</t>
        </is>
      </c>
      <c r="O1071" t="inlineStr">
        <is>
          <t>eng</t>
        </is>
      </c>
      <c r="P1071" t="inlineStr">
        <is>
          <t>nyu</t>
        </is>
      </c>
      <c r="Q1071" t="inlineStr">
        <is>
          <t>Communication and human values</t>
        </is>
      </c>
      <c r="R1071" t="inlineStr">
        <is>
          <t xml:space="preserve">BV </t>
        </is>
      </c>
      <c r="S1071" t="n">
        <v>3</v>
      </c>
      <c r="T1071" t="n">
        <v>3</v>
      </c>
      <c r="U1071" t="inlineStr">
        <is>
          <t>1994-04-05</t>
        </is>
      </c>
      <c r="V1071" t="inlineStr">
        <is>
          <t>1994-04-05</t>
        </is>
      </c>
      <c r="W1071" t="inlineStr">
        <is>
          <t>1992-01-13</t>
        </is>
      </c>
      <c r="X1071" t="inlineStr">
        <is>
          <t>1992-01-13</t>
        </is>
      </c>
      <c r="Y1071" t="n">
        <v>807</v>
      </c>
      <c r="Z1071" t="n">
        <v>718</v>
      </c>
      <c r="AA1071" t="n">
        <v>725</v>
      </c>
      <c r="AB1071" t="n">
        <v>7</v>
      </c>
      <c r="AC1071" t="n">
        <v>7</v>
      </c>
      <c r="AD1071" t="n">
        <v>35</v>
      </c>
      <c r="AE1071" t="n">
        <v>35</v>
      </c>
      <c r="AF1071" t="n">
        <v>19</v>
      </c>
      <c r="AG1071" t="n">
        <v>19</v>
      </c>
      <c r="AH1071" t="n">
        <v>3</v>
      </c>
      <c r="AI1071" t="n">
        <v>3</v>
      </c>
      <c r="AJ1071" t="n">
        <v>16</v>
      </c>
      <c r="AK1071" t="n">
        <v>16</v>
      </c>
      <c r="AL1071" t="n">
        <v>6</v>
      </c>
      <c r="AM1071" t="n">
        <v>6</v>
      </c>
      <c r="AN1071" t="n">
        <v>0</v>
      </c>
      <c r="AO1071" t="n">
        <v>0</v>
      </c>
      <c r="AP1071" t="inlineStr">
        <is>
          <t>No</t>
        </is>
      </c>
      <c r="AQ1071" t="inlineStr">
        <is>
          <t>Yes</t>
        </is>
      </c>
      <c r="AR1071">
        <f>HYPERLINK("http://catalog.hathitrust.org/Record/000122009","HathiTrust Record")</f>
        <v/>
      </c>
      <c r="AS1071">
        <f>HYPERLINK("https://creighton-primo.hosted.exlibrisgroup.com/primo-explore/search?tab=default_tab&amp;search_scope=EVERYTHING&amp;vid=01CRU&amp;lang=en_US&amp;offset=0&amp;query=any,contains,991000226349702656","Catalog Record")</f>
        <v/>
      </c>
      <c r="AT1071">
        <f>HYPERLINK("http://www.worldcat.org/oclc/9620094","WorldCat Record")</f>
        <v/>
      </c>
      <c r="AU1071" t="inlineStr">
        <is>
          <t>308724279:eng</t>
        </is>
      </c>
      <c r="AV1071" t="inlineStr">
        <is>
          <t>9620094</t>
        </is>
      </c>
      <c r="AW1071" t="inlineStr">
        <is>
          <t>991000226349702656</t>
        </is>
      </c>
      <c r="AX1071" t="inlineStr">
        <is>
          <t>991000226349702656</t>
        </is>
      </c>
      <c r="AY1071" t="inlineStr">
        <is>
          <t>2270320490002656</t>
        </is>
      </c>
      <c r="AZ1071" t="inlineStr">
        <is>
          <t>BOOK</t>
        </is>
      </c>
      <c r="BB1071" t="inlineStr">
        <is>
          <t>9780582284326</t>
        </is>
      </c>
      <c r="BC1071" t="inlineStr">
        <is>
          <t>32285000904226</t>
        </is>
      </c>
      <c r="BD1071" t="inlineStr">
        <is>
          <t>893431800</t>
        </is>
      </c>
    </row>
    <row r="1072">
      <c r="A1072" t="inlineStr">
        <is>
          <t>No</t>
        </is>
      </c>
      <c r="B1072" t="inlineStr">
        <is>
          <t>BV656.3 .R42 1990</t>
        </is>
      </c>
      <c r="C1072" t="inlineStr">
        <is>
          <t>0                      BV 0656300R  42          1990</t>
        </is>
      </c>
      <c r="D1072" t="inlineStr">
        <is>
          <t>Religious television : controversies and conclusions / edited by Robert Abelman, Stewart M. Hoover.</t>
        </is>
      </c>
      <c r="F1072" t="inlineStr">
        <is>
          <t>No</t>
        </is>
      </c>
      <c r="G1072" t="inlineStr">
        <is>
          <t>1</t>
        </is>
      </c>
      <c r="H1072" t="inlineStr">
        <is>
          <t>No</t>
        </is>
      </c>
      <c r="I1072" t="inlineStr">
        <is>
          <t>No</t>
        </is>
      </c>
      <c r="J1072" t="inlineStr">
        <is>
          <t>0</t>
        </is>
      </c>
      <c r="L1072" t="inlineStr">
        <is>
          <t>Norwood, N.J. : Ablex Pub. Corp., c1990.</t>
        </is>
      </c>
      <c r="M1072" t="inlineStr">
        <is>
          <t>1990</t>
        </is>
      </c>
      <c r="O1072" t="inlineStr">
        <is>
          <t>eng</t>
        </is>
      </c>
      <c r="P1072" t="inlineStr">
        <is>
          <t>nju</t>
        </is>
      </c>
      <c r="Q1072" t="inlineStr">
        <is>
          <t>Communication and information science</t>
        </is>
      </c>
      <c r="R1072" t="inlineStr">
        <is>
          <t xml:space="preserve">BV </t>
        </is>
      </c>
      <c r="S1072" t="n">
        <v>3</v>
      </c>
      <c r="T1072" t="n">
        <v>3</v>
      </c>
      <c r="U1072" t="inlineStr">
        <is>
          <t>1994-04-05</t>
        </is>
      </c>
      <c r="V1072" t="inlineStr">
        <is>
          <t>1994-04-05</t>
        </is>
      </c>
      <c r="W1072" t="inlineStr">
        <is>
          <t>1991-09-17</t>
        </is>
      </c>
      <c r="X1072" t="inlineStr">
        <is>
          <t>1991-09-17</t>
        </is>
      </c>
      <c r="Y1072" t="n">
        <v>377</v>
      </c>
      <c r="Z1072" t="n">
        <v>312</v>
      </c>
      <c r="AA1072" t="n">
        <v>318</v>
      </c>
      <c r="AB1072" t="n">
        <v>3</v>
      </c>
      <c r="AC1072" t="n">
        <v>3</v>
      </c>
      <c r="AD1072" t="n">
        <v>13</v>
      </c>
      <c r="AE1072" t="n">
        <v>13</v>
      </c>
      <c r="AF1072" t="n">
        <v>4</v>
      </c>
      <c r="AG1072" t="n">
        <v>4</v>
      </c>
      <c r="AH1072" t="n">
        <v>1</v>
      </c>
      <c r="AI1072" t="n">
        <v>1</v>
      </c>
      <c r="AJ1072" t="n">
        <v>10</v>
      </c>
      <c r="AK1072" t="n">
        <v>10</v>
      </c>
      <c r="AL1072" t="n">
        <v>2</v>
      </c>
      <c r="AM1072" t="n">
        <v>2</v>
      </c>
      <c r="AN1072" t="n">
        <v>0</v>
      </c>
      <c r="AO1072" t="n">
        <v>0</v>
      </c>
      <c r="AP1072" t="inlineStr">
        <is>
          <t>No</t>
        </is>
      </c>
      <c r="AQ1072" t="inlineStr">
        <is>
          <t>Yes</t>
        </is>
      </c>
      <c r="AR1072">
        <f>HYPERLINK("http://catalog.hathitrust.org/Record/002205303","HathiTrust Record")</f>
        <v/>
      </c>
      <c r="AS1072">
        <f>HYPERLINK("https://creighton-primo.hosted.exlibrisgroup.com/primo-explore/search?tab=default_tab&amp;search_scope=EVERYTHING&amp;vid=01CRU&amp;lang=en_US&amp;offset=0&amp;query=any,contains,991001629289702656","Catalog Record")</f>
        <v/>
      </c>
      <c r="AT1072">
        <f>HYPERLINK("http://www.worldcat.org/oclc/20893285","WorldCat Record")</f>
        <v/>
      </c>
      <c r="AU1072" t="inlineStr">
        <is>
          <t>889544588:eng</t>
        </is>
      </c>
      <c r="AV1072" t="inlineStr">
        <is>
          <t>20893285</t>
        </is>
      </c>
      <c r="AW1072" t="inlineStr">
        <is>
          <t>991001629289702656</t>
        </is>
      </c>
      <c r="AX1072" t="inlineStr">
        <is>
          <t>991001629289702656</t>
        </is>
      </c>
      <c r="AY1072" t="inlineStr">
        <is>
          <t>2265672410002656</t>
        </is>
      </c>
      <c r="AZ1072" t="inlineStr">
        <is>
          <t>BOOK</t>
        </is>
      </c>
      <c r="BB1072" t="inlineStr">
        <is>
          <t>9780893916442</t>
        </is>
      </c>
      <c r="BC1072" t="inlineStr">
        <is>
          <t>32285000703743</t>
        </is>
      </c>
      <c r="BD1072" t="inlineStr">
        <is>
          <t>893328239</t>
        </is>
      </c>
    </row>
    <row r="1073">
      <c r="A1073" t="inlineStr">
        <is>
          <t>No</t>
        </is>
      </c>
      <c r="B1073" t="inlineStr">
        <is>
          <t>BV660.2 .C38 1986</t>
        </is>
      </c>
      <c r="C1073" t="inlineStr">
        <is>
          <t>0                      BV 0660200C  38          1986</t>
        </is>
      </c>
      <c r="D1073" t="inlineStr">
        <is>
          <t>The effective minister : psychological and social considerations / Michael E. Cavanagh.</t>
        </is>
      </c>
      <c r="F1073" t="inlineStr">
        <is>
          <t>No</t>
        </is>
      </c>
      <c r="G1073" t="inlineStr">
        <is>
          <t>1</t>
        </is>
      </c>
      <c r="H1073" t="inlineStr">
        <is>
          <t>No</t>
        </is>
      </c>
      <c r="I1073" t="inlineStr">
        <is>
          <t>No</t>
        </is>
      </c>
      <c r="J1073" t="inlineStr">
        <is>
          <t>0</t>
        </is>
      </c>
      <c r="K1073" t="inlineStr">
        <is>
          <t>Cavanagh, Michael E.</t>
        </is>
      </c>
      <c r="L1073" t="inlineStr">
        <is>
          <t>San Francisco : Harper &amp; Row, c1986.</t>
        </is>
      </c>
      <c r="M1073" t="inlineStr">
        <is>
          <t>1986</t>
        </is>
      </c>
      <c r="N1073" t="inlineStr">
        <is>
          <t>1st ed.</t>
        </is>
      </c>
      <c r="O1073" t="inlineStr">
        <is>
          <t>eng</t>
        </is>
      </c>
      <c r="P1073" t="inlineStr">
        <is>
          <t>cau</t>
        </is>
      </c>
      <c r="R1073" t="inlineStr">
        <is>
          <t xml:space="preserve">BV </t>
        </is>
      </c>
      <c r="S1073" t="n">
        <v>2</v>
      </c>
      <c r="T1073" t="n">
        <v>2</v>
      </c>
      <c r="U1073" t="inlineStr">
        <is>
          <t>1994-08-31</t>
        </is>
      </c>
      <c r="V1073" t="inlineStr">
        <is>
          <t>1994-08-31</t>
        </is>
      </c>
      <c r="W1073" t="inlineStr">
        <is>
          <t>1990-01-30</t>
        </is>
      </c>
      <c r="X1073" t="inlineStr">
        <is>
          <t>1990-01-30</t>
        </is>
      </c>
      <c r="Y1073" t="n">
        <v>235</v>
      </c>
      <c r="Z1073" t="n">
        <v>213</v>
      </c>
      <c r="AA1073" t="n">
        <v>218</v>
      </c>
      <c r="AB1073" t="n">
        <v>2</v>
      </c>
      <c r="AC1073" t="n">
        <v>2</v>
      </c>
      <c r="AD1073" t="n">
        <v>11</v>
      </c>
      <c r="AE1073" t="n">
        <v>11</v>
      </c>
      <c r="AF1073" t="n">
        <v>3</v>
      </c>
      <c r="AG1073" t="n">
        <v>3</v>
      </c>
      <c r="AH1073" t="n">
        <v>2</v>
      </c>
      <c r="AI1073" t="n">
        <v>2</v>
      </c>
      <c r="AJ1073" t="n">
        <v>7</v>
      </c>
      <c r="AK1073" t="n">
        <v>7</v>
      </c>
      <c r="AL1073" t="n">
        <v>1</v>
      </c>
      <c r="AM1073" t="n">
        <v>1</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HYPERLINK("https://creighton-primo.hosted.exlibrisgroup.com/primo-explore/search?tab=default_tab&amp;search_scope=EVERYTHING&amp;vid=01CRU&amp;lang=en_US&amp;offset=0&amp;query=any,contains,991000872339702656","Catalog Record")</f>
        <v/>
      </c>
      <c r="AT1073">
        <f>HYPERLINK("http://www.worldcat.org/oclc/13793741","WorldCat Record")</f>
        <v/>
      </c>
      <c r="AU1073" t="inlineStr">
        <is>
          <t>7891275:eng</t>
        </is>
      </c>
      <c r="AV1073" t="inlineStr">
        <is>
          <t>13793741</t>
        </is>
      </c>
      <c r="AW1073" t="inlineStr">
        <is>
          <t>991000872339702656</t>
        </is>
      </c>
      <c r="AX1073" t="inlineStr">
        <is>
          <t>991000872339702656</t>
        </is>
      </c>
      <c r="AY1073" t="inlineStr">
        <is>
          <t>2272161320002656</t>
        </is>
      </c>
      <c r="AZ1073" t="inlineStr">
        <is>
          <t>BOOK</t>
        </is>
      </c>
      <c r="BB1073" t="inlineStr">
        <is>
          <t>9780062542106</t>
        </is>
      </c>
      <c r="BC1073" t="inlineStr">
        <is>
          <t>32285000031095</t>
        </is>
      </c>
      <c r="BD1073" t="inlineStr">
        <is>
          <t>893315316</t>
        </is>
      </c>
    </row>
    <row r="1074">
      <c r="A1074" t="inlineStr">
        <is>
          <t>No</t>
        </is>
      </c>
      <c r="B1074" t="inlineStr">
        <is>
          <t>BV660.2 .H3158 1984</t>
        </is>
      </c>
      <c r="C1074" t="inlineStr">
        <is>
          <t>0                      BV 0660200H  3158        1984</t>
        </is>
      </c>
      <c r="D1074" t="inlineStr">
        <is>
          <t>Pastor as person / Gary L. Harbaugh.</t>
        </is>
      </c>
      <c r="F1074" t="inlineStr">
        <is>
          <t>No</t>
        </is>
      </c>
      <c r="G1074" t="inlineStr">
        <is>
          <t>1</t>
        </is>
      </c>
      <c r="H1074" t="inlineStr">
        <is>
          <t>No</t>
        </is>
      </c>
      <c r="I1074" t="inlineStr">
        <is>
          <t>No</t>
        </is>
      </c>
      <c r="J1074" t="inlineStr">
        <is>
          <t>0</t>
        </is>
      </c>
      <c r="K1074" t="inlineStr">
        <is>
          <t>Harbaugh, Gary L., 1936-</t>
        </is>
      </c>
      <c r="L1074" t="inlineStr">
        <is>
          <t>Minneapolis : Augsburg Pub. House, c1984.</t>
        </is>
      </c>
      <c r="M1074" t="inlineStr">
        <is>
          <t>1984</t>
        </is>
      </c>
      <c r="O1074" t="inlineStr">
        <is>
          <t>eng</t>
        </is>
      </c>
      <c r="P1074" t="inlineStr">
        <is>
          <t>mnu</t>
        </is>
      </c>
      <c r="R1074" t="inlineStr">
        <is>
          <t xml:space="preserve">BV </t>
        </is>
      </c>
      <c r="S1074" t="n">
        <v>2</v>
      </c>
      <c r="T1074" t="n">
        <v>2</v>
      </c>
      <c r="U1074" t="inlineStr">
        <is>
          <t>2002-09-02</t>
        </is>
      </c>
      <c r="V1074" t="inlineStr">
        <is>
          <t>2002-09-02</t>
        </is>
      </c>
      <c r="W1074" t="inlineStr">
        <is>
          <t>2002-08-06</t>
        </is>
      </c>
      <c r="X1074" t="inlineStr">
        <is>
          <t>2002-08-06</t>
        </is>
      </c>
      <c r="Y1074" t="n">
        <v>273</v>
      </c>
      <c r="Z1074" t="n">
        <v>220</v>
      </c>
      <c r="AA1074" t="n">
        <v>236</v>
      </c>
      <c r="AB1074" t="n">
        <v>2</v>
      </c>
      <c r="AC1074" t="n">
        <v>2</v>
      </c>
      <c r="AD1074" t="n">
        <v>10</v>
      </c>
      <c r="AE1074" t="n">
        <v>10</v>
      </c>
      <c r="AF1074" t="n">
        <v>5</v>
      </c>
      <c r="AG1074" t="n">
        <v>5</v>
      </c>
      <c r="AH1074" t="n">
        <v>0</v>
      </c>
      <c r="AI1074" t="n">
        <v>0</v>
      </c>
      <c r="AJ1074" t="n">
        <v>5</v>
      </c>
      <c r="AK1074" t="n">
        <v>5</v>
      </c>
      <c r="AL1074" t="n">
        <v>1</v>
      </c>
      <c r="AM1074" t="n">
        <v>1</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HYPERLINK("https://creighton-primo.hosted.exlibrisgroup.com/primo-explore/search?tab=default_tab&amp;search_scope=EVERYTHING&amp;vid=01CRU&amp;lang=en_US&amp;offset=0&amp;query=any,contains,991003851989702656","Catalog Record")</f>
        <v/>
      </c>
      <c r="AT1074">
        <f>HYPERLINK("http://www.worldcat.org/oclc/11370834","WorldCat Record")</f>
        <v/>
      </c>
      <c r="AU1074" t="inlineStr">
        <is>
          <t>3895879:eng</t>
        </is>
      </c>
      <c r="AV1074" t="inlineStr">
        <is>
          <t>11370834</t>
        </is>
      </c>
      <c r="AW1074" t="inlineStr">
        <is>
          <t>991003851989702656</t>
        </is>
      </c>
      <c r="AX1074" t="inlineStr">
        <is>
          <t>991003851989702656</t>
        </is>
      </c>
      <c r="AY1074" t="inlineStr">
        <is>
          <t>2259949550002656</t>
        </is>
      </c>
      <c r="AZ1074" t="inlineStr">
        <is>
          <t>BOOK</t>
        </is>
      </c>
      <c r="BB1074" t="inlineStr">
        <is>
          <t>9780806621159</t>
        </is>
      </c>
      <c r="BC1074" t="inlineStr">
        <is>
          <t>32285004641964</t>
        </is>
      </c>
      <c r="BD1074" t="inlineStr">
        <is>
          <t>893806308</t>
        </is>
      </c>
    </row>
    <row r="1075">
      <c r="A1075" t="inlineStr">
        <is>
          <t>No</t>
        </is>
      </c>
      <c r="B1075" t="inlineStr">
        <is>
          <t>BV660.2 .M4 1985</t>
        </is>
      </c>
      <c r="C1075" t="inlineStr">
        <is>
          <t>0                      BV 0660200M  4           1985</t>
        </is>
      </c>
      <c r="D1075" t="inlineStr">
        <is>
          <t>Christmen : experience of priesthood today / Gerald McGinnity.</t>
        </is>
      </c>
      <c r="F1075" t="inlineStr">
        <is>
          <t>No</t>
        </is>
      </c>
      <c r="G1075" t="inlineStr">
        <is>
          <t>1</t>
        </is>
      </c>
      <c r="H1075" t="inlineStr">
        <is>
          <t>No</t>
        </is>
      </c>
      <c r="I1075" t="inlineStr">
        <is>
          <t>No</t>
        </is>
      </c>
      <c r="J1075" t="inlineStr">
        <is>
          <t>0</t>
        </is>
      </c>
      <c r="K1075" t="inlineStr">
        <is>
          <t>McGinnity, Gerard.</t>
        </is>
      </c>
      <c r="L1075" t="inlineStr">
        <is>
          <t>Dublin : Four Courts, [1985?]</t>
        </is>
      </c>
      <c r="M1075" t="inlineStr">
        <is>
          <t>1985</t>
        </is>
      </c>
      <c r="O1075" t="inlineStr">
        <is>
          <t>eng</t>
        </is>
      </c>
      <c r="P1075" t="inlineStr">
        <is>
          <t xml:space="preserve">ie </t>
        </is>
      </c>
      <c r="R1075" t="inlineStr">
        <is>
          <t xml:space="preserve">BV </t>
        </is>
      </c>
      <c r="S1075" t="n">
        <v>2</v>
      </c>
      <c r="T1075" t="n">
        <v>2</v>
      </c>
      <c r="U1075" t="inlineStr">
        <is>
          <t>1992-03-02</t>
        </is>
      </c>
      <c r="V1075" t="inlineStr">
        <is>
          <t>1992-03-02</t>
        </is>
      </c>
      <c r="W1075" t="inlineStr">
        <is>
          <t>1992-01-17</t>
        </is>
      </c>
      <c r="X1075" t="inlineStr">
        <is>
          <t>1992-01-17</t>
        </is>
      </c>
      <c r="Y1075" t="n">
        <v>52</v>
      </c>
      <c r="Z1075" t="n">
        <v>32</v>
      </c>
      <c r="AA1075" t="n">
        <v>64</v>
      </c>
      <c r="AB1075" t="n">
        <v>2</v>
      </c>
      <c r="AC1075" t="n">
        <v>2</v>
      </c>
      <c r="AD1075" t="n">
        <v>2</v>
      </c>
      <c r="AE1075" t="n">
        <v>7</v>
      </c>
      <c r="AF1075" t="n">
        <v>0</v>
      </c>
      <c r="AG1075" t="n">
        <v>1</v>
      </c>
      <c r="AH1075" t="n">
        <v>1</v>
      </c>
      <c r="AI1075" t="n">
        <v>2</v>
      </c>
      <c r="AJ1075" t="n">
        <v>2</v>
      </c>
      <c r="AK1075" t="n">
        <v>6</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HYPERLINK("https://creighton-primo.hosted.exlibrisgroup.com/primo-explore/search?tab=default_tab&amp;search_scope=EVERYTHING&amp;vid=01CRU&amp;lang=en_US&amp;offset=0&amp;query=any,contains,991000710449702656","Catalog Record")</f>
        <v/>
      </c>
      <c r="AT1075">
        <f>HYPERLINK("http://www.worldcat.org/oclc/12582280","WorldCat Record")</f>
        <v/>
      </c>
      <c r="AU1075" t="inlineStr">
        <is>
          <t>5213358:eng</t>
        </is>
      </c>
      <c r="AV1075" t="inlineStr">
        <is>
          <t>12582280</t>
        </is>
      </c>
      <c r="AW1075" t="inlineStr">
        <is>
          <t>991000710449702656</t>
        </is>
      </c>
      <c r="AX1075" t="inlineStr">
        <is>
          <t>991000710449702656</t>
        </is>
      </c>
      <c r="AY1075" t="inlineStr">
        <is>
          <t>2272327120002656</t>
        </is>
      </c>
      <c r="AZ1075" t="inlineStr">
        <is>
          <t>BOOK</t>
        </is>
      </c>
      <c r="BB1075" t="inlineStr">
        <is>
          <t>9780906127940</t>
        </is>
      </c>
      <c r="BC1075" t="inlineStr">
        <is>
          <t>32285000904283</t>
        </is>
      </c>
      <c r="BD1075" t="inlineStr">
        <is>
          <t>893249611</t>
        </is>
      </c>
    </row>
    <row r="1076">
      <c r="A1076" t="inlineStr">
        <is>
          <t>No</t>
        </is>
      </c>
      <c r="B1076" t="inlineStr">
        <is>
          <t>BV660.2 .M53 1980</t>
        </is>
      </c>
      <c r="C1076" t="inlineStr">
        <is>
          <t>0                      BV 0660200M  53          1980</t>
        </is>
      </c>
      <c r="D1076" t="inlineStr">
        <is>
          <t>Ministry in America : a report and analysis, based on an in-depth survey of 47 denominations in the United States and Canada, with interpretation by 18 experts / David S. Schuller, Merton P. Strommen, and Milo L. Brekke, editors.</t>
        </is>
      </c>
      <c r="F1076" t="inlineStr">
        <is>
          <t>No</t>
        </is>
      </c>
      <c r="G1076" t="inlineStr">
        <is>
          <t>1</t>
        </is>
      </c>
      <c r="H1076" t="inlineStr">
        <is>
          <t>No</t>
        </is>
      </c>
      <c r="I1076" t="inlineStr">
        <is>
          <t>No</t>
        </is>
      </c>
      <c r="J1076" t="inlineStr">
        <is>
          <t>0</t>
        </is>
      </c>
      <c r="L1076" t="inlineStr">
        <is>
          <t>San Francisco : Harper &amp; Row, c1980.</t>
        </is>
      </c>
      <c r="M1076" t="inlineStr">
        <is>
          <t>1980</t>
        </is>
      </c>
      <c r="N1076" t="inlineStr">
        <is>
          <t>1st ed.</t>
        </is>
      </c>
      <c r="O1076" t="inlineStr">
        <is>
          <t>eng</t>
        </is>
      </c>
      <c r="P1076" t="inlineStr">
        <is>
          <t>cau</t>
        </is>
      </c>
      <c r="R1076" t="inlineStr">
        <is>
          <t xml:space="preserve">BV </t>
        </is>
      </c>
      <c r="S1076" t="n">
        <v>6</v>
      </c>
      <c r="T1076" t="n">
        <v>6</v>
      </c>
      <c r="U1076" t="inlineStr">
        <is>
          <t>1995-03-28</t>
        </is>
      </c>
      <c r="V1076" t="inlineStr">
        <is>
          <t>1995-03-28</t>
        </is>
      </c>
      <c r="W1076" t="inlineStr">
        <is>
          <t>1992-01-17</t>
        </is>
      </c>
      <c r="X1076" t="inlineStr">
        <is>
          <t>1992-01-17</t>
        </is>
      </c>
      <c r="Y1076" t="n">
        <v>597</v>
      </c>
      <c r="Z1076" t="n">
        <v>544</v>
      </c>
      <c r="AA1076" t="n">
        <v>552</v>
      </c>
      <c r="AB1076" t="n">
        <v>5</v>
      </c>
      <c r="AC1076" t="n">
        <v>5</v>
      </c>
      <c r="AD1076" t="n">
        <v>30</v>
      </c>
      <c r="AE1076" t="n">
        <v>30</v>
      </c>
      <c r="AF1076" t="n">
        <v>12</v>
      </c>
      <c r="AG1076" t="n">
        <v>12</v>
      </c>
      <c r="AH1076" t="n">
        <v>7</v>
      </c>
      <c r="AI1076" t="n">
        <v>7</v>
      </c>
      <c r="AJ1076" t="n">
        <v>15</v>
      </c>
      <c r="AK1076" t="n">
        <v>15</v>
      </c>
      <c r="AL1076" t="n">
        <v>3</v>
      </c>
      <c r="AM1076" t="n">
        <v>3</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HYPERLINK("https://creighton-primo.hosted.exlibrisgroup.com/primo-explore/search?tab=default_tab&amp;search_scope=EVERYTHING&amp;vid=01CRU&amp;lang=en_US&amp;offset=0&amp;query=any,contains,991004928229702656","Catalog Record")</f>
        <v/>
      </c>
      <c r="AT1076">
        <f>HYPERLINK("http://www.worldcat.org/oclc/6087778","WorldCat Record")</f>
        <v/>
      </c>
      <c r="AU1076" t="inlineStr">
        <is>
          <t>195167852:eng</t>
        </is>
      </c>
      <c r="AV1076" t="inlineStr">
        <is>
          <t>6087778</t>
        </is>
      </c>
      <c r="AW1076" t="inlineStr">
        <is>
          <t>991004928229702656</t>
        </is>
      </c>
      <c r="AX1076" t="inlineStr">
        <is>
          <t>991004928229702656</t>
        </is>
      </c>
      <c r="AY1076" t="inlineStr">
        <is>
          <t>2259632720002656</t>
        </is>
      </c>
      <c r="AZ1076" t="inlineStr">
        <is>
          <t>BOOK</t>
        </is>
      </c>
      <c r="BB1076" t="inlineStr">
        <is>
          <t>9780060677213</t>
        </is>
      </c>
      <c r="BC1076" t="inlineStr">
        <is>
          <t>32285000904291</t>
        </is>
      </c>
      <c r="BD1076" t="inlineStr">
        <is>
          <t>893230011</t>
        </is>
      </c>
    </row>
    <row r="1077">
      <c r="A1077" t="inlineStr">
        <is>
          <t>No</t>
        </is>
      </c>
      <c r="B1077" t="inlineStr">
        <is>
          <t>BV660.2 .N4 1985</t>
        </is>
      </c>
      <c r="C1077" t="inlineStr">
        <is>
          <t>0                      BV 0660200N  4           1985</t>
        </is>
      </c>
      <c r="D1077" t="inlineStr">
        <is>
          <t>'The good shepherd' : meditations on Christian ministry in today's world / Lesslie Newbigin ; foreword by the Bishop of Lichfield.</t>
        </is>
      </c>
      <c r="F1077" t="inlineStr">
        <is>
          <t>No</t>
        </is>
      </c>
      <c r="G1077" t="inlineStr">
        <is>
          <t>1</t>
        </is>
      </c>
      <c r="H1077" t="inlineStr">
        <is>
          <t>No</t>
        </is>
      </c>
      <c r="I1077" t="inlineStr">
        <is>
          <t>No</t>
        </is>
      </c>
      <c r="J1077" t="inlineStr">
        <is>
          <t>0</t>
        </is>
      </c>
      <c r="K1077" t="inlineStr">
        <is>
          <t>Newbigin, Lesslie.</t>
        </is>
      </c>
      <c r="L1077" t="inlineStr">
        <is>
          <t>London : Mowbray, 1985, c1977.</t>
        </is>
      </c>
      <c r="M1077" t="inlineStr">
        <is>
          <t>1985</t>
        </is>
      </c>
      <c r="O1077" t="inlineStr">
        <is>
          <t>eng</t>
        </is>
      </c>
      <c r="P1077" t="inlineStr">
        <is>
          <t>enk</t>
        </is>
      </c>
      <c r="Q1077" t="inlineStr">
        <is>
          <t>Mowbray's Christian studies series</t>
        </is>
      </c>
      <c r="R1077" t="inlineStr">
        <is>
          <t xml:space="preserve">BV </t>
        </is>
      </c>
      <c r="S1077" t="n">
        <v>2</v>
      </c>
      <c r="T1077" t="n">
        <v>2</v>
      </c>
      <c r="U1077" t="inlineStr">
        <is>
          <t>2001-12-11</t>
        </is>
      </c>
      <c r="V1077" t="inlineStr">
        <is>
          <t>2001-12-11</t>
        </is>
      </c>
      <c r="W1077" t="inlineStr">
        <is>
          <t>1992-01-17</t>
        </is>
      </c>
      <c r="X1077" t="inlineStr">
        <is>
          <t>1992-01-17</t>
        </is>
      </c>
      <c r="Y1077" t="n">
        <v>26</v>
      </c>
      <c r="Z1077" t="n">
        <v>10</v>
      </c>
      <c r="AA1077" t="n">
        <v>157</v>
      </c>
      <c r="AB1077" t="n">
        <v>1</v>
      </c>
      <c r="AC1077" t="n">
        <v>4</v>
      </c>
      <c r="AD1077" t="n">
        <v>0</v>
      </c>
      <c r="AE1077" t="n">
        <v>4</v>
      </c>
      <c r="AF1077" t="n">
        <v>0</v>
      </c>
      <c r="AG1077" t="n">
        <v>1</v>
      </c>
      <c r="AH1077" t="n">
        <v>0</v>
      </c>
      <c r="AI1077" t="n">
        <v>0</v>
      </c>
      <c r="AJ1077" t="n">
        <v>0</v>
      </c>
      <c r="AK1077" t="n">
        <v>2</v>
      </c>
      <c r="AL1077" t="n">
        <v>0</v>
      </c>
      <c r="AM1077" t="n">
        <v>2</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HYPERLINK("https://creighton-primo.hosted.exlibrisgroup.com/primo-explore/search?tab=default_tab&amp;search_scope=EVERYTHING&amp;vid=01CRU&amp;lang=en_US&amp;offset=0&amp;query=any,contains,991000696069702656","Catalog Record")</f>
        <v/>
      </c>
      <c r="AT1077">
        <f>HYPERLINK("http://www.worldcat.org/oclc/12513762","WorldCat Record")</f>
        <v/>
      </c>
      <c r="AU1077" t="inlineStr">
        <is>
          <t>4922063:eng</t>
        </is>
      </c>
      <c r="AV1077" t="inlineStr">
        <is>
          <t>12513762</t>
        </is>
      </c>
      <c r="AW1077" t="inlineStr">
        <is>
          <t>991000696069702656</t>
        </is>
      </c>
      <c r="AX1077" t="inlineStr">
        <is>
          <t>991000696069702656</t>
        </is>
      </c>
      <c r="AY1077" t="inlineStr">
        <is>
          <t>2255924670002656</t>
        </is>
      </c>
      <c r="AZ1077" t="inlineStr">
        <is>
          <t>BOOK</t>
        </is>
      </c>
      <c r="BB1077" t="inlineStr">
        <is>
          <t>9780264670560</t>
        </is>
      </c>
      <c r="BC1077" t="inlineStr">
        <is>
          <t>32285000904309</t>
        </is>
      </c>
      <c r="BD1077" t="inlineStr">
        <is>
          <t>893589670</t>
        </is>
      </c>
    </row>
    <row r="1078">
      <c r="A1078" t="inlineStr">
        <is>
          <t>No</t>
        </is>
      </c>
      <c r="B1078" t="inlineStr">
        <is>
          <t>BV660.2 .T4713 1983</t>
        </is>
      </c>
      <c r="C1078" t="inlineStr">
        <is>
          <t>0                      BV 0660200T  4713        1983</t>
        </is>
      </c>
      <c r="D1078" t="inlineStr">
        <is>
          <t>Priesthood and ministry : ecumenical research / by Max Thurian ; translated by Paula Clifford.</t>
        </is>
      </c>
      <c r="F1078" t="inlineStr">
        <is>
          <t>No</t>
        </is>
      </c>
      <c r="G1078" t="inlineStr">
        <is>
          <t>1</t>
        </is>
      </c>
      <c r="H1078" t="inlineStr">
        <is>
          <t>No</t>
        </is>
      </c>
      <c r="I1078" t="inlineStr">
        <is>
          <t>No</t>
        </is>
      </c>
      <c r="J1078" t="inlineStr">
        <is>
          <t>0</t>
        </is>
      </c>
      <c r="K1078" t="inlineStr">
        <is>
          <t>Thurian, Max.</t>
        </is>
      </c>
      <c r="L1078" t="inlineStr">
        <is>
          <t>London : Mowbray, 1983.</t>
        </is>
      </c>
      <c r="M1078" t="inlineStr">
        <is>
          <t>1983</t>
        </is>
      </c>
      <c r="O1078" t="inlineStr">
        <is>
          <t>eng</t>
        </is>
      </c>
      <c r="P1078" t="inlineStr">
        <is>
          <t>enk</t>
        </is>
      </c>
      <c r="R1078" t="inlineStr">
        <is>
          <t xml:space="preserve">BV </t>
        </is>
      </c>
      <c r="S1078" t="n">
        <v>2</v>
      </c>
      <c r="T1078" t="n">
        <v>2</v>
      </c>
      <c r="U1078" t="inlineStr">
        <is>
          <t>1994-03-15</t>
        </is>
      </c>
      <c r="V1078" t="inlineStr">
        <is>
          <t>1994-03-15</t>
        </is>
      </c>
      <c r="W1078" t="inlineStr">
        <is>
          <t>1992-01-17</t>
        </is>
      </c>
      <c r="X1078" t="inlineStr">
        <is>
          <t>1992-01-17</t>
        </is>
      </c>
      <c r="Y1078" t="n">
        <v>107</v>
      </c>
      <c r="Z1078" t="n">
        <v>56</v>
      </c>
      <c r="AA1078" t="n">
        <v>58</v>
      </c>
      <c r="AB1078" t="n">
        <v>1</v>
      </c>
      <c r="AC1078" t="n">
        <v>1</v>
      </c>
      <c r="AD1078" t="n">
        <v>4</v>
      </c>
      <c r="AE1078" t="n">
        <v>4</v>
      </c>
      <c r="AF1078" t="n">
        <v>0</v>
      </c>
      <c r="AG1078" t="n">
        <v>0</v>
      </c>
      <c r="AH1078" t="n">
        <v>1</v>
      </c>
      <c r="AI1078" t="n">
        <v>1</v>
      </c>
      <c r="AJ1078" t="n">
        <v>3</v>
      </c>
      <c r="AK1078" t="n">
        <v>3</v>
      </c>
      <c r="AL1078" t="n">
        <v>0</v>
      </c>
      <c r="AM1078" t="n">
        <v>0</v>
      </c>
      <c r="AN1078" t="n">
        <v>0</v>
      </c>
      <c r="AO1078" t="n">
        <v>0</v>
      </c>
      <c r="AP1078" t="inlineStr">
        <is>
          <t>No</t>
        </is>
      </c>
      <c r="AQ1078" t="inlineStr">
        <is>
          <t>Yes</t>
        </is>
      </c>
      <c r="AR1078">
        <f>HYPERLINK("http://catalog.hathitrust.org/Record/000206076","HathiTrust Record")</f>
        <v/>
      </c>
      <c r="AS1078">
        <f>HYPERLINK("https://creighton-primo.hosted.exlibrisgroup.com/primo-explore/search?tab=default_tab&amp;search_scope=EVERYTHING&amp;vid=01CRU&amp;lang=en_US&amp;offset=0&amp;query=any,contains,991000369539702656","Catalog Record")</f>
        <v/>
      </c>
      <c r="AT1078">
        <f>HYPERLINK("http://www.worldcat.org/oclc/10427434","WorldCat Record")</f>
        <v/>
      </c>
      <c r="AU1078" t="inlineStr">
        <is>
          <t>2754312685:eng</t>
        </is>
      </c>
      <c r="AV1078" t="inlineStr">
        <is>
          <t>10427434</t>
        </is>
      </c>
      <c r="AW1078" t="inlineStr">
        <is>
          <t>991000369539702656</t>
        </is>
      </c>
      <c r="AX1078" t="inlineStr">
        <is>
          <t>991000369539702656</t>
        </is>
      </c>
      <c r="AY1078" t="inlineStr">
        <is>
          <t>2270711040002656</t>
        </is>
      </c>
      <c r="AZ1078" t="inlineStr">
        <is>
          <t>BOOK</t>
        </is>
      </c>
      <c r="BB1078" t="inlineStr">
        <is>
          <t>9780264669205</t>
        </is>
      </c>
      <c r="BC1078" t="inlineStr">
        <is>
          <t>32285000904325</t>
        </is>
      </c>
      <c r="BD1078" t="inlineStr">
        <is>
          <t>893224927</t>
        </is>
      </c>
    </row>
    <row r="1079">
      <c r="A1079" t="inlineStr">
        <is>
          <t>No</t>
        </is>
      </c>
      <c r="B1079" t="inlineStr">
        <is>
          <t>BV660.2 .W46</t>
        </is>
      </c>
      <c r="C1079" t="inlineStr">
        <is>
          <t>0                      BV 0660200W  46</t>
        </is>
      </c>
      <c r="D1079" t="inlineStr">
        <is>
          <t>Method in ministry : theological reflection and Christian ministry / James D. Whitehead and Evelyn Eaton Whitehead.</t>
        </is>
      </c>
      <c r="F1079" t="inlineStr">
        <is>
          <t>No</t>
        </is>
      </c>
      <c r="G1079" t="inlineStr">
        <is>
          <t>1</t>
        </is>
      </c>
      <c r="H1079" t="inlineStr">
        <is>
          <t>No</t>
        </is>
      </c>
      <c r="I1079" t="inlineStr">
        <is>
          <t>No</t>
        </is>
      </c>
      <c r="J1079" t="inlineStr">
        <is>
          <t>0</t>
        </is>
      </c>
      <c r="K1079" t="inlineStr">
        <is>
          <t>Whitehead, James D.</t>
        </is>
      </c>
      <c r="L1079" t="inlineStr">
        <is>
          <t>New York : Seabury Press, c1980, 1981.</t>
        </is>
      </c>
      <c r="M1079" t="inlineStr">
        <is>
          <t>1980</t>
        </is>
      </c>
      <c r="O1079" t="inlineStr">
        <is>
          <t>eng</t>
        </is>
      </c>
      <c r="P1079" t="inlineStr">
        <is>
          <t>nyu</t>
        </is>
      </c>
      <c r="R1079" t="inlineStr">
        <is>
          <t xml:space="preserve">BV </t>
        </is>
      </c>
      <c r="S1079" t="n">
        <v>9</v>
      </c>
      <c r="T1079" t="n">
        <v>9</v>
      </c>
      <c r="U1079" t="inlineStr">
        <is>
          <t>2006-12-08</t>
        </is>
      </c>
      <c r="V1079" t="inlineStr">
        <is>
          <t>2006-12-08</t>
        </is>
      </c>
      <c r="W1079" t="inlineStr">
        <is>
          <t>1990-03-29</t>
        </is>
      </c>
      <c r="X1079" t="inlineStr">
        <is>
          <t>1990-03-29</t>
        </is>
      </c>
      <c r="Y1079" t="n">
        <v>345</v>
      </c>
      <c r="Z1079" t="n">
        <v>294</v>
      </c>
      <c r="AA1079" t="n">
        <v>404</v>
      </c>
      <c r="AB1079" t="n">
        <v>5</v>
      </c>
      <c r="AC1079" t="n">
        <v>5</v>
      </c>
      <c r="AD1079" t="n">
        <v>25</v>
      </c>
      <c r="AE1079" t="n">
        <v>33</v>
      </c>
      <c r="AF1079" t="n">
        <v>7</v>
      </c>
      <c r="AG1079" t="n">
        <v>12</v>
      </c>
      <c r="AH1079" t="n">
        <v>5</v>
      </c>
      <c r="AI1079" t="n">
        <v>7</v>
      </c>
      <c r="AJ1079" t="n">
        <v>17</v>
      </c>
      <c r="AK1079" t="n">
        <v>20</v>
      </c>
      <c r="AL1079" t="n">
        <v>2</v>
      </c>
      <c r="AM1079" t="n">
        <v>2</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HYPERLINK("https://creighton-primo.hosted.exlibrisgroup.com/primo-explore/search?tab=default_tab&amp;search_scope=EVERYTHING&amp;vid=01CRU&amp;lang=en_US&amp;offset=0&amp;query=any,contains,991004943679702656","Catalog Record")</f>
        <v/>
      </c>
      <c r="AT1079">
        <f>HYPERLINK("http://www.worldcat.org/oclc/6196565","WorldCat Record")</f>
        <v/>
      </c>
      <c r="AU1079" t="inlineStr">
        <is>
          <t>513230:eng</t>
        </is>
      </c>
      <c r="AV1079" t="inlineStr">
        <is>
          <t>6196565</t>
        </is>
      </c>
      <c r="AW1079" t="inlineStr">
        <is>
          <t>991004943679702656</t>
        </is>
      </c>
      <c r="AX1079" t="inlineStr">
        <is>
          <t>991004943679702656</t>
        </is>
      </c>
      <c r="AY1079" t="inlineStr">
        <is>
          <t>2266186730002656</t>
        </is>
      </c>
      <c r="AZ1079" t="inlineStr">
        <is>
          <t>BOOK</t>
        </is>
      </c>
      <c r="BB1079" t="inlineStr">
        <is>
          <t>9780816404551</t>
        </is>
      </c>
      <c r="BC1079" t="inlineStr">
        <is>
          <t>32285000106657</t>
        </is>
      </c>
      <c r="BD1079" t="inlineStr">
        <is>
          <t>893694537</t>
        </is>
      </c>
    </row>
    <row r="1080">
      <c r="A1080" t="inlineStr">
        <is>
          <t>No</t>
        </is>
      </c>
      <c r="B1080" t="inlineStr">
        <is>
          <t>BV660.2 .Z37 1999</t>
        </is>
      </c>
      <c r="C1080" t="inlineStr">
        <is>
          <t>0                      BV 0660200Z  37          1999</t>
        </is>
      </c>
      <c r="D1080" t="inlineStr">
        <is>
          <t>No longer servants, but friends : a theology of ordained ministry / Edward C. Zaragoza.</t>
        </is>
      </c>
      <c r="F1080" t="inlineStr">
        <is>
          <t>No</t>
        </is>
      </c>
      <c r="G1080" t="inlineStr">
        <is>
          <t>1</t>
        </is>
      </c>
      <c r="H1080" t="inlineStr">
        <is>
          <t>No</t>
        </is>
      </c>
      <c r="I1080" t="inlineStr">
        <is>
          <t>No</t>
        </is>
      </c>
      <c r="J1080" t="inlineStr">
        <is>
          <t>0</t>
        </is>
      </c>
      <c r="K1080" t="inlineStr">
        <is>
          <t>Zaragoza, Edward C.</t>
        </is>
      </c>
      <c r="L1080" t="inlineStr">
        <is>
          <t>Nashville : Abingdon Press, c1999.</t>
        </is>
      </c>
      <c r="M1080" t="inlineStr">
        <is>
          <t>1999</t>
        </is>
      </c>
      <c r="O1080" t="inlineStr">
        <is>
          <t>eng</t>
        </is>
      </c>
      <c r="P1080" t="inlineStr">
        <is>
          <t>tnu</t>
        </is>
      </c>
      <c r="R1080" t="inlineStr">
        <is>
          <t xml:space="preserve">BV </t>
        </is>
      </c>
      <c r="S1080" t="n">
        <v>3</v>
      </c>
      <c r="T1080" t="n">
        <v>3</v>
      </c>
      <c r="U1080" t="inlineStr">
        <is>
          <t>2007-10-17</t>
        </is>
      </c>
      <c r="V1080" t="inlineStr">
        <is>
          <t>2007-10-17</t>
        </is>
      </c>
      <c r="W1080" t="inlineStr">
        <is>
          <t>2001-08-07</t>
        </is>
      </c>
      <c r="X1080" t="inlineStr">
        <is>
          <t>2001-08-07</t>
        </is>
      </c>
      <c r="Y1080" t="n">
        <v>158</v>
      </c>
      <c r="Z1080" t="n">
        <v>133</v>
      </c>
      <c r="AA1080" t="n">
        <v>138</v>
      </c>
      <c r="AB1080" t="n">
        <v>3</v>
      </c>
      <c r="AC1080" t="n">
        <v>3</v>
      </c>
      <c r="AD1080" t="n">
        <v>9</v>
      </c>
      <c r="AE1080" t="n">
        <v>9</v>
      </c>
      <c r="AF1080" t="n">
        <v>3</v>
      </c>
      <c r="AG1080" t="n">
        <v>3</v>
      </c>
      <c r="AH1080" t="n">
        <v>2</v>
      </c>
      <c r="AI1080" t="n">
        <v>2</v>
      </c>
      <c r="AJ1080" t="n">
        <v>2</v>
      </c>
      <c r="AK1080" t="n">
        <v>2</v>
      </c>
      <c r="AL1080" t="n">
        <v>2</v>
      </c>
      <c r="AM1080" t="n">
        <v>2</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HYPERLINK("https://creighton-primo.hosted.exlibrisgroup.com/primo-explore/search?tab=default_tab&amp;search_scope=EVERYTHING&amp;vid=01CRU&amp;lang=en_US&amp;offset=0&amp;query=any,contains,991003565919702656","Catalog Record")</f>
        <v/>
      </c>
      <c r="AT1080">
        <f>HYPERLINK("http://www.worldcat.org/oclc/41156506","WorldCat Record")</f>
        <v/>
      </c>
      <c r="AU1080" t="inlineStr">
        <is>
          <t>14461111:eng</t>
        </is>
      </c>
      <c r="AV1080" t="inlineStr">
        <is>
          <t>41156506</t>
        </is>
      </c>
      <c r="AW1080" t="inlineStr">
        <is>
          <t>991003565919702656</t>
        </is>
      </c>
      <c r="AX1080" t="inlineStr">
        <is>
          <t>991003565919702656</t>
        </is>
      </c>
      <c r="AY1080" t="inlineStr">
        <is>
          <t>2261569650002656</t>
        </is>
      </c>
      <c r="AZ1080" t="inlineStr">
        <is>
          <t>BOOK</t>
        </is>
      </c>
      <c r="BB1080" t="inlineStr">
        <is>
          <t>9780687081639</t>
        </is>
      </c>
      <c r="BC1080" t="inlineStr">
        <is>
          <t>32285004376173</t>
        </is>
      </c>
      <c r="BD1080" t="inlineStr">
        <is>
          <t>893422703</t>
        </is>
      </c>
    </row>
    <row r="1081">
      <c r="A1081" t="inlineStr">
        <is>
          <t>No</t>
        </is>
      </c>
      <c r="B1081" t="inlineStr">
        <is>
          <t>BV662 .L38</t>
        </is>
      </c>
      <c r="C1081" t="inlineStr">
        <is>
          <t>0                      BV 0662000L  38</t>
        </is>
      </c>
      <c r="D1081" t="inlineStr">
        <is>
          <t>The Christian priesthood / edited by Nicholas Lash and Joseph Rhymer.</t>
        </is>
      </c>
      <c r="F1081" t="inlineStr">
        <is>
          <t>No</t>
        </is>
      </c>
      <c r="G1081" t="inlineStr">
        <is>
          <t>1</t>
        </is>
      </c>
      <c r="H1081" t="inlineStr">
        <is>
          <t>No</t>
        </is>
      </c>
      <c r="I1081" t="inlineStr">
        <is>
          <t>No</t>
        </is>
      </c>
      <c r="J1081" t="inlineStr">
        <is>
          <t>0</t>
        </is>
      </c>
      <c r="L1081" t="inlineStr">
        <is>
          <t>London, Barton Longman &amp; Todd; Denville, N.J., Dimension Books, 1970.</t>
        </is>
      </c>
      <c r="M1081" t="inlineStr">
        <is>
          <t>1970</t>
        </is>
      </c>
      <c r="O1081" t="inlineStr">
        <is>
          <t>eng</t>
        </is>
      </c>
      <c r="P1081" t="inlineStr">
        <is>
          <t>enk</t>
        </is>
      </c>
      <c r="R1081" t="inlineStr">
        <is>
          <t xml:space="preserve">BV </t>
        </is>
      </c>
      <c r="S1081" t="n">
        <v>3</v>
      </c>
      <c r="T1081" t="n">
        <v>3</v>
      </c>
      <c r="U1081" t="inlineStr">
        <is>
          <t>1994-03-15</t>
        </is>
      </c>
      <c r="V1081" t="inlineStr">
        <is>
          <t>1994-03-15</t>
        </is>
      </c>
      <c r="W1081" t="inlineStr">
        <is>
          <t>1992-01-17</t>
        </is>
      </c>
      <c r="X1081" t="inlineStr">
        <is>
          <t>1992-01-17</t>
        </is>
      </c>
      <c r="Y1081" t="n">
        <v>200</v>
      </c>
      <c r="Z1081" t="n">
        <v>133</v>
      </c>
      <c r="AA1081" t="n">
        <v>139</v>
      </c>
      <c r="AB1081" t="n">
        <v>2</v>
      </c>
      <c r="AC1081" t="n">
        <v>2</v>
      </c>
      <c r="AD1081" t="n">
        <v>16</v>
      </c>
      <c r="AE1081" t="n">
        <v>16</v>
      </c>
      <c r="AF1081" t="n">
        <v>2</v>
      </c>
      <c r="AG1081" t="n">
        <v>2</v>
      </c>
      <c r="AH1081" t="n">
        <v>6</v>
      </c>
      <c r="AI1081" t="n">
        <v>6</v>
      </c>
      <c r="AJ1081" t="n">
        <v>10</v>
      </c>
      <c r="AK1081" t="n">
        <v>10</v>
      </c>
      <c r="AL1081" t="n">
        <v>1</v>
      </c>
      <c r="AM1081" t="n">
        <v>1</v>
      </c>
      <c r="AN1081" t="n">
        <v>0</v>
      </c>
      <c r="AO1081" t="n">
        <v>0</v>
      </c>
      <c r="AP1081" t="inlineStr">
        <is>
          <t>No</t>
        </is>
      </c>
      <c r="AQ1081" t="inlineStr">
        <is>
          <t>Yes</t>
        </is>
      </c>
      <c r="AR1081">
        <f>HYPERLINK("http://catalog.hathitrust.org/Record/101871528","HathiTrust Record")</f>
        <v/>
      </c>
      <c r="AS1081">
        <f>HYPERLINK("https://creighton-primo.hosted.exlibrisgroup.com/primo-explore/search?tab=default_tab&amp;search_scope=EVERYTHING&amp;vid=01CRU&amp;lang=en_US&amp;offset=0&amp;query=any,contains,991002854699702656","Catalog Record")</f>
        <v/>
      </c>
      <c r="AT1081">
        <f>HYPERLINK("http://www.worldcat.org/oclc/488657","WorldCat Record")</f>
        <v/>
      </c>
      <c r="AU1081" t="inlineStr">
        <is>
          <t>1153066134:eng</t>
        </is>
      </c>
      <c r="AV1081" t="inlineStr">
        <is>
          <t>488657</t>
        </is>
      </c>
      <c r="AW1081" t="inlineStr">
        <is>
          <t>991002854699702656</t>
        </is>
      </c>
      <c r="AX1081" t="inlineStr">
        <is>
          <t>991002854699702656</t>
        </is>
      </c>
      <c r="AY1081" t="inlineStr">
        <is>
          <t>2256034410002656</t>
        </is>
      </c>
      <c r="AZ1081" t="inlineStr">
        <is>
          <t>BOOK</t>
        </is>
      </c>
      <c r="BB1081" t="inlineStr">
        <is>
          <t>9780232511369</t>
        </is>
      </c>
      <c r="BC1081" t="inlineStr">
        <is>
          <t>32285000904341</t>
        </is>
      </c>
      <c r="BD1081" t="inlineStr">
        <is>
          <t>893805138</t>
        </is>
      </c>
    </row>
    <row r="1082">
      <c r="A1082" t="inlineStr">
        <is>
          <t>No</t>
        </is>
      </c>
      <c r="B1082" t="inlineStr">
        <is>
          <t>BV663 .C53 1993</t>
        </is>
      </c>
      <c r="C1082" t="inlineStr">
        <is>
          <t>0                      BV 0663000C  53          1993</t>
        </is>
      </c>
      <c r="D1082" t="inlineStr">
        <is>
          <t>Church, ministry, and organization in the early church era / edited with introductions by Everett Ferguson.</t>
        </is>
      </c>
      <c r="F1082" t="inlineStr">
        <is>
          <t>No</t>
        </is>
      </c>
      <c r="G1082" t="inlineStr">
        <is>
          <t>1</t>
        </is>
      </c>
      <c r="H1082" t="inlineStr">
        <is>
          <t>No</t>
        </is>
      </c>
      <c r="I1082" t="inlineStr">
        <is>
          <t>No</t>
        </is>
      </c>
      <c r="J1082" t="inlineStr">
        <is>
          <t>0</t>
        </is>
      </c>
      <c r="L1082" t="inlineStr">
        <is>
          <t>New York : Garland Pub., 1993.</t>
        </is>
      </c>
      <c r="M1082" t="inlineStr">
        <is>
          <t>1993</t>
        </is>
      </c>
      <c r="O1082" t="inlineStr">
        <is>
          <t>eng</t>
        </is>
      </c>
      <c r="P1082" t="inlineStr">
        <is>
          <t>ctu</t>
        </is>
      </c>
      <c r="Q1082" t="inlineStr">
        <is>
          <t>Studies in early Christianity ; v. 13</t>
        </is>
      </c>
      <c r="R1082" t="inlineStr">
        <is>
          <t xml:space="preserve">BV </t>
        </is>
      </c>
      <c r="S1082" t="n">
        <v>6</v>
      </c>
      <c r="T1082" t="n">
        <v>6</v>
      </c>
      <c r="U1082" t="inlineStr">
        <is>
          <t>2009-01-16</t>
        </is>
      </c>
      <c r="V1082" t="inlineStr">
        <is>
          <t>2009-01-16</t>
        </is>
      </c>
      <c r="W1082" t="inlineStr">
        <is>
          <t>1993-04-13</t>
        </is>
      </c>
      <c r="X1082" t="inlineStr">
        <is>
          <t>1993-04-13</t>
        </is>
      </c>
      <c r="Y1082" t="n">
        <v>159</v>
      </c>
      <c r="Z1082" t="n">
        <v>113</v>
      </c>
      <c r="AA1082" t="n">
        <v>115</v>
      </c>
      <c r="AB1082" t="n">
        <v>1</v>
      </c>
      <c r="AC1082" t="n">
        <v>1</v>
      </c>
      <c r="AD1082" t="n">
        <v>8</v>
      </c>
      <c r="AE1082" t="n">
        <v>8</v>
      </c>
      <c r="AF1082" t="n">
        <v>3</v>
      </c>
      <c r="AG1082" t="n">
        <v>3</v>
      </c>
      <c r="AH1082" t="n">
        <v>2</v>
      </c>
      <c r="AI1082" t="n">
        <v>2</v>
      </c>
      <c r="AJ1082" t="n">
        <v>5</v>
      </c>
      <c r="AK1082" t="n">
        <v>5</v>
      </c>
      <c r="AL1082" t="n">
        <v>0</v>
      </c>
      <c r="AM1082" t="n">
        <v>0</v>
      </c>
      <c r="AN1082" t="n">
        <v>0</v>
      </c>
      <c r="AO1082" t="n">
        <v>0</v>
      </c>
      <c r="AP1082" t="inlineStr">
        <is>
          <t>No</t>
        </is>
      </c>
      <c r="AQ1082" t="inlineStr">
        <is>
          <t>Yes</t>
        </is>
      </c>
      <c r="AR1082">
        <f>HYPERLINK("http://catalog.hathitrust.org/Record/100244408","HathiTrust Record")</f>
        <v/>
      </c>
      <c r="AS1082">
        <f>HYPERLINK("https://creighton-primo.hosted.exlibrisgroup.com/primo-explore/search?tab=default_tab&amp;search_scope=EVERYTHING&amp;vid=01CRU&amp;lang=en_US&amp;offset=0&amp;query=any,contains,991002109329702656","Catalog Record")</f>
        <v/>
      </c>
      <c r="AT1082">
        <f>HYPERLINK("http://www.worldcat.org/oclc/27035356","WorldCat Record")</f>
        <v/>
      </c>
      <c r="AU1082" t="inlineStr">
        <is>
          <t>354589:eng</t>
        </is>
      </c>
      <c r="AV1082" t="inlineStr">
        <is>
          <t>27035356</t>
        </is>
      </c>
      <c r="AW1082" t="inlineStr">
        <is>
          <t>991002109329702656</t>
        </is>
      </c>
      <c r="AX1082" t="inlineStr">
        <is>
          <t>991002109329702656</t>
        </is>
      </c>
      <c r="AY1082" t="inlineStr">
        <is>
          <t>2270372640002656</t>
        </is>
      </c>
      <c r="AZ1082" t="inlineStr">
        <is>
          <t>BOOK</t>
        </is>
      </c>
      <c r="BB1082" t="inlineStr">
        <is>
          <t>9780815310730</t>
        </is>
      </c>
      <c r="BC1082" t="inlineStr">
        <is>
          <t>32285001499259</t>
        </is>
      </c>
      <c r="BD1082" t="inlineStr">
        <is>
          <t>893352159</t>
        </is>
      </c>
    </row>
    <row r="1083">
      <c r="A1083" t="inlineStr">
        <is>
          <t>No</t>
        </is>
      </c>
      <c r="B1083" t="inlineStr">
        <is>
          <t>BV670 .R313 1962</t>
        </is>
      </c>
      <c r="C1083" t="inlineStr">
        <is>
          <t>0                      BV 0670000R  313         1962</t>
        </is>
      </c>
      <c r="D1083" t="inlineStr">
        <is>
          <t>The episcopate and the primacy / [by] Karl Rahner [and] Joseph Ratzinger. Translated by Kenneth Barker and others.</t>
        </is>
      </c>
      <c r="F1083" t="inlineStr">
        <is>
          <t>No</t>
        </is>
      </c>
      <c r="G1083" t="inlineStr">
        <is>
          <t>1</t>
        </is>
      </c>
      <c r="H1083" t="inlineStr">
        <is>
          <t>No</t>
        </is>
      </c>
      <c r="I1083" t="inlineStr">
        <is>
          <t>No</t>
        </is>
      </c>
      <c r="J1083" t="inlineStr">
        <is>
          <t>0</t>
        </is>
      </c>
      <c r="K1083" t="inlineStr">
        <is>
          <t>Rahner, Karl, 1904-1984.</t>
        </is>
      </c>
      <c r="L1083" t="inlineStr">
        <is>
          <t>New York : Herder and Herder, [1962]</t>
        </is>
      </c>
      <c r="M1083" t="inlineStr">
        <is>
          <t>1962</t>
        </is>
      </c>
      <c r="O1083" t="inlineStr">
        <is>
          <t>eng</t>
        </is>
      </c>
      <c r="P1083" t="inlineStr">
        <is>
          <t>nyu</t>
        </is>
      </c>
      <c r="Q1083" t="inlineStr">
        <is>
          <t>Quaestiones disputatae ; 4</t>
        </is>
      </c>
      <c r="R1083" t="inlineStr">
        <is>
          <t xml:space="preserve">BV </t>
        </is>
      </c>
      <c r="S1083" t="n">
        <v>3</v>
      </c>
      <c r="T1083" t="n">
        <v>3</v>
      </c>
      <c r="U1083" t="inlineStr">
        <is>
          <t>1995-02-13</t>
        </is>
      </c>
      <c r="V1083" t="inlineStr">
        <is>
          <t>1995-02-13</t>
        </is>
      </c>
      <c r="W1083" t="inlineStr">
        <is>
          <t>1992-01-17</t>
        </is>
      </c>
      <c r="X1083" t="inlineStr">
        <is>
          <t>1992-01-17</t>
        </is>
      </c>
      <c r="Y1083" t="n">
        <v>341</v>
      </c>
      <c r="Z1083" t="n">
        <v>315</v>
      </c>
      <c r="AA1083" t="n">
        <v>446</v>
      </c>
      <c r="AB1083" t="n">
        <v>4</v>
      </c>
      <c r="AC1083" t="n">
        <v>5</v>
      </c>
      <c r="AD1083" t="n">
        <v>37</v>
      </c>
      <c r="AE1083" t="n">
        <v>43</v>
      </c>
      <c r="AF1083" t="n">
        <v>15</v>
      </c>
      <c r="AG1083" t="n">
        <v>17</v>
      </c>
      <c r="AH1083" t="n">
        <v>7</v>
      </c>
      <c r="AI1083" t="n">
        <v>9</v>
      </c>
      <c r="AJ1083" t="n">
        <v>25</v>
      </c>
      <c r="AK1083" t="n">
        <v>26</v>
      </c>
      <c r="AL1083" t="n">
        <v>1</v>
      </c>
      <c r="AM1083" t="n">
        <v>2</v>
      </c>
      <c r="AN1083" t="n">
        <v>0</v>
      </c>
      <c r="AO1083" t="n">
        <v>2</v>
      </c>
      <c r="AP1083" t="inlineStr">
        <is>
          <t>No</t>
        </is>
      </c>
      <c r="AQ1083" t="inlineStr">
        <is>
          <t>Yes</t>
        </is>
      </c>
      <c r="AR1083">
        <f>HYPERLINK("http://catalog.hathitrust.org/Record/001413440","HathiTrust Record")</f>
        <v/>
      </c>
      <c r="AS1083">
        <f>HYPERLINK("https://creighton-primo.hosted.exlibrisgroup.com/primo-explore/search?tab=default_tab&amp;search_scope=EVERYTHING&amp;vid=01CRU&amp;lang=en_US&amp;offset=0&amp;query=any,contains,991003108669702656","Catalog Record")</f>
        <v/>
      </c>
      <c r="AT1083">
        <f>HYPERLINK("http://www.worldcat.org/oclc/655670","WorldCat Record")</f>
        <v/>
      </c>
      <c r="AU1083" t="inlineStr">
        <is>
          <t>4160283616:eng</t>
        </is>
      </c>
      <c r="AV1083" t="inlineStr">
        <is>
          <t>655670</t>
        </is>
      </c>
      <c r="AW1083" t="inlineStr">
        <is>
          <t>991003108669702656</t>
        </is>
      </c>
      <c r="AX1083" t="inlineStr">
        <is>
          <t>991003108669702656</t>
        </is>
      </c>
      <c r="AY1083" t="inlineStr">
        <is>
          <t>2260753610002656</t>
        </is>
      </c>
      <c r="AZ1083" t="inlineStr">
        <is>
          <t>BOOK</t>
        </is>
      </c>
      <c r="BC1083" t="inlineStr">
        <is>
          <t>32285000904374</t>
        </is>
      </c>
      <c r="BD1083" t="inlineStr">
        <is>
          <t>893239891</t>
        </is>
      </c>
    </row>
    <row r="1084">
      <c r="A1084" t="inlineStr">
        <is>
          <t>No</t>
        </is>
      </c>
      <c r="B1084" t="inlineStr">
        <is>
          <t>BV670.2 .C46 1971</t>
        </is>
      </c>
      <c r="C1084" t="inlineStr">
        <is>
          <t>0                      BV 0670200C  46          1971</t>
        </is>
      </c>
      <c r="D1084" t="inlineStr">
        <is>
          <t>The choosing of bishops : historical and theological studies / William W. Bassett, editor. Raymond E. Goedert, introd.</t>
        </is>
      </c>
      <c r="F1084" t="inlineStr">
        <is>
          <t>No</t>
        </is>
      </c>
      <c r="G1084" t="inlineStr">
        <is>
          <t>1</t>
        </is>
      </c>
      <c r="H1084" t="inlineStr">
        <is>
          <t>No</t>
        </is>
      </c>
      <c r="I1084" t="inlineStr">
        <is>
          <t>No</t>
        </is>
      </c>
      <c r="J1084" t="inlineStr">
        <is>
          <t>0</t>
        </is>
      </c>
      <c r="L1084" t="inlineStr">
        <is>
          <t>Hartford : Canon Law Society of America, 1971.</t>
        </is>
      </c>
      <c r="M1084" t="inlineStr">
        <is>
          <t>1971</t>
        </is>
      </c>
      <c r="O1084" t="inlineStr">
        <is>
          <t>eng</t>
        </is>
      </c>
      <c r="P1084" t="inlineStr">
        <is>
          <t>ctu</t>
        </is>
      </c>
      <c r="R1084" t="inlineStr">
        <is>
          <t xml:space="preserve">BV </t>
        </is>
      </c>
      <c r="S1084" t="n">
        <v>3</v>
      </c>
      <c r="T1084" t="n">
        <v>3</v>
      </c>
      <c r="U1084" t="inlineStr">
        <is>
          <t>2005-04-10</t>
        </is>
      </c>
      <c r="V1084" t="inlineStr">
        <is>
          <t>2005-04-10</t>
        </is>
      </c>
      <c r="W1084" t="inlineStr">
        <is>
          <t>1992-01-17</t>
        </is>
      </c>
      <c r="X1084" t="inlineStr">
        <is>
          <t>1992-01-17</t>
        </is>
      </c>
      <c r="Y1084" t="n">
        <v>129</v>
      </c>
      <c r="Z1084" t="n">
        <v>114</v>
      </c>
      <c r="AA1084" t="n">
        <v>114</v>
      </c>
      <c r="AB1084" t="n">
        <v>2</v>
      </c>
      <c r="AC1084" t="n">
        <v>2</v>
      </c>
      <c r="AD1084" t="n">
        <v>16</v>
      </c>
      <c r="AE1084" t="n">
        <v>16</v>
      </c>
      <c r="AF1084" t="n">
        <v>3</v>
      </c>
      <c r="AG1084" t="n">
        <v>3</v>
      </c>
      <c r="AH1084" t="n">
        <v>4</v>
      </c>
      <c r="AI1084" t="n">
        <v>4</v>
      </c>
      <c r="AJ1084" t="n">
        <v>13</v>
      </c>
      <c r="AK1084" t="n">
        <v>13</v>
      </c>
      <c r="AL1084" t="n">
        <v>0</v>
      </c>
      <c r="AM1084" t="n">
        <v>0</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HYPERLINK("https://creighton-primo.hosted.exlibrisgroup.com/primo-explore/search?tab=default_tab&amp;search_scope=EVERYTHING&amp;vid=01CRU&amp;lang=en_US&amp;offset=0&amp;query=any,contains,991000805559702656","Catalog Record")</f>
        <v/>
      </c>
      <c r="AT1084">
        <f>HYPERLINK("http://www.worldcat.org/oclc/140599","WorldCat Record")</f>
        <v/>
      </c>
      <c r="AU1084" t="inlineStr">
        <is>
          <t>307191157:eng</t>
        </is>
      </c>
      <c r="AV1084" t="inlineStr">
        <is>
          <t>140599</t>
        </is>
      </c>
      <c r="AW1084" t="inlineStr">
        <is>
          <t>991000805559702656</t>
        </is>
      </c>
      <c r="AX1084" t="inlineStr">
        <is>
          <t>991000805559702656</t>
        </is>
      </c>
      <c r="AY1084" t="inlineStr">
        <is>
          <t>2255750770002656</t>
        </is>
      </c>
      <c r="AZ1084" t="inlineStr">
        <is>
          <t>BOOK</t>
        </is>
      </c>
      <c r="BC1084" t="inlineStr">
        <is>
          <t>32285000904382</t>
        </is>
      </c>
      <c r="BD1084" t="inlineStr">
        <is>
          <t>893891040</t>
        </is>
      </c>
    </row>
    <row r="1085">
      <c r="A1085" t="inlineStr">
        <is>
          <t>No</t>
        </is>
      </c>
      <c r="B1085" t="inlineStr">
        <is>
          <t>BV670.2 .C73</t>
        </is>
      </c>
      <c r="C1085" t="inlineStr">
        <is>
          <t>0                      BV 0670200C  73</t>
        </is>
      </c>
      <c r="D1085" t="inlineStr">
        <is>
          <t>The episcopate and Christian unity : a symposium conducted by the Graymoor Friars ... / compiled and edited by Titus Cranny.</t>
        </is>
      </c>
      <c r="F1085" t="inlineStr">
        <is>
          <t>No</t>
        </is>
      </c>
      <c r="G1085" t="inlineStr">
        <is>
          <t>1</t>
        </is>
      </c>
      <c r="H1085" t="inlineStr">
        <is>
          <t>No</t>
        </is>
      </c>
      <c r="I1085" t="inlineStr">
        <is>
          <t>No</t>
        </is>
      </c>
      <c r="J1085" t="inlineStr">
        <is>
          <t>0</t>
        </is>
      </c>
      <c r="K1085" t="inlineStr">
        <is>
          <t>Christian Unity Conference (1964 : St. Pius X Seminary)</t>
        </is>
      </c>
      <c r="L1085" t="inlineStr">
        <is>
          <t>Garrison, N. Y., Chair of Unity Apostolate [1965]</t>
        </is>
      </c>
      <c r="M1085" t="inlineStr">
        <is>
          <t>1965</t>
        </is>
      </c>
      <c r="O1085" t="inlineStr">
        <is>
          <t>eng</t>
        </is>
      </c>
      <c r="P1085" t="inlineStr">
        <is>
          <t>___</t>
        </is>
      </c>
      <c r="R1085" t="inlineStr">
        <is>
          <t xml:space="preserve">BV </t>
        </is>
      </c>
      <c r="S1085" t="n">
        <v>5</v>
      </c>
      <c r="T1085" t="n">
        <v>5</v>
      </c>
      <c r="U1085" t="inlineStr">
        <is>
          <t>2005-04-10</t>
        </is>
      </c>
      <c r="V1085" t="inlineStr">
        <is>
          <t>2005-04-10</t>
        </is>
      </c>
      <c r="W1085" t="inlineStr">
        <is>
          <t>1992-01-17</t>
        </is>
      </c>
      <c r="X1085" t="inlineStr">
        <is>
          <t>1992-01-17</t>
        </is>
      </c>
      <c r="Y1085" t="n">
        <v>62</v>
      </c>
      <c r="Z1085" t="n">
        <v>60</v>
      </c>
      <c r="AA1085" t="n">
        <v>60</v>
      </c>
      <c r="AB1085" t="n">
        <v>1</v>
      </c>
      <c r="AC1085" t="n">
        <v>1</v>
      </c>
      <c r="AD1085" t="n">
        <v>9</v>
      </c>
      <c r="AE1085" t="n">
        <v>9</v>
      </c>
      <c r="AF1085" t="n">
        <v>1</v>
      </c>
      <c r="AG1085" t="n">
        <v>1</v>
      </c>
      <c r="AH1085" t="n">
        <v>4</v>
      </c>
      <c r="AI1085" t="n">
        <v>4</v>
      </c>
      <c r="AJ1085" t="n">
        <v>7</v>
      </c>
      <c r="AK1085" t="n">
        <v>7</v>
      </c>
      <c r="AL1085" t="n">
        <v>0</v>
      </c>
      <c r="AM1085" t="n">
        <v>0</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HYPERLINK("https://creighton-primo.hosted.exlibrisgroup.com/primo-explore/search?tab=default_tab&amp;search_scope=EVERYTHING&amp;vid=01CRU&amp;lang=en_US&amp;offset=0&amp;query=any,contains,991003632089702656","Catalog Record")</f>
        <v/>
      </c>
      <c r="AT1085">
        <f>HYPERLINK("http://www.worldcat.org/oclc/1225719","WorldCat Record")</f>
        <v/>
      </c>
      <c r="AU1085" t="inlineStr">
        <is>
          <t>4020062606:eng</t>
        </is>
      </c>
      <c r="AV1085" t="inlineStr">
        <is>
          <t>1225719</t>
        </is>
      </c>
      <c r="AW1085" t="inlineStr">
        <is>
          <t>991003632089702656</t>
        </is>
      </c>
      <c r="AX1085" t="inlineStr">
        <is>
          <t>991003632089702656</t>
        </is>
      </c>
      <c r="AY1085" t="inlineStr">
        <is>
          <t>2262645720002656</t>
        </is>
      </c>
      <c r="AZ1085" t="inlineStr">
        <is>
          <t>BOOK</t>
        </is>
      </c>
      <c r="BC1085" t="inlineStr">
        <is>
          <t>32285000904416</t>
        </is>
      </c>
      <c r="BD1085" t="inlineStr">
        <is>
          <t>893605020</t>
        </is>
      </c>
    </row>
    <row r="1086">
      <c r="A1086" t="inlineStr">
        <is>
          <t>No</t>
        </is>
      </c>
      <c r="B1086" t="inlineStr">
        <is>
          <t>BV670.2 .C86 1985</t>
        </is>
      </c>
      <c r="C1086" t="inlineStr">
        <is>
          <t>0                      BV 0670200C  86          1985</t>
        </is>
      </c>
      <c r="D1086" t="inlineStr">
        <is>
          <t>The bishop in the church : patristic texts on the role of the Episkopos / by Agnes Cunningham.</t>
        </is>
      </c>
      <c r="F1086" t="inlineStr">
        <is>
          <t>No</t>
        </is>
      </c>
      <c r="G1086" t="inlineStr">
        <is>
          <t>1</t>
        </is>
      </c>
      <c r="H1086" t="inlineStr">
        <is>
          <t>No</t>
        </is>
      </c>
      <c r="I1086" t="inlineStr">
        <is>
          <t>No</t>
        </is>
      </c>
      <c r="J1086" t="inlineStr">
        <is>
          <t>0</t>
        </is>
      </c>
      <c r="K1086" t="inlineStr">
        <is>
          <t>Cunningham, Agnes.</t>
        </is>
      </c>
      <c r="L1086" t="inlineStr">
        <is>
          <t>Wilmington, Del. : M. Glazier, c1985.</t>
        </is>
      </c>
      <c r="M1086" t="inlineStr">
        <is>
          <t>1985</t>
        </is>
      </c>
      <c r="O1086" t="inlineStr">
        <is>
          <t>eng</t>
        </is>
      </c>
      <c r="P1086" t="inlineStr">
        <is>
          <t>mdu</t>
        </is>
      </c>
      <c r="Q1086" t="inlineStr">
        <is>
          <t>Theology and life series ; v. 13</t>
        </is>
      </c>
      <c r="R1086" t="inlineStr">
        <is>
          <t xml:space="preserve">BV </t>
        </is>
      </c>
      <c r="S1086" t="n">
        <v>4</v>
      </c>
      <c r="T1086" t="n">
        <v>4</v>
      </c>
      <c r="U1086" t="inlineStr">
        <is>
          <t>2005-04-10</t>
        </is>
      </c>
      <c r="V1086" t="inlineStr">
        <is>
          <t>2005-04-10</t>
        </is>
      </c>
      <c r="W1086" t="inlineStr">
        <is>
          <t>1992-01-17</t>
        </is>
      </c>
      <c r="X1086" t="inlineStr">
        <is>
          <t>1992-01-17</t>
        </is>
      </c>
      <c r="Y1086" t="n">
        <v>231</v>
      </c>
      <c r="Z1086" t="n">
        <v>196</v>
      </c>
      <c r="AA1086" t="n">
        <v>202</v>
      </c>
      <c r="AB1086" t="n">
        <v>2</v>
      </c>
      <c r="AC1086" t="n">
        <v>2</v>
      </c>
      <c r="AD1086" t="n">
        <v>21</v>
      </c>
      <c r="AE1086" t="n">
        <v>21</v>
      </c>
      <c r="AF1086" t="n">
        <v>8</v>
      </c>
      <c r="AG1086" t="n">
        <v>8</v>
      </c>
      <c r="AH1086" t="n">
        <v>5</v>
      </c>
      <c r="AI1086" t="n">
        <v>5</v>
      </c>
      <c r="AJ1086" t="n">
        <v>16</v>
      </c>
      <c r="AK1086" t="n">
        <v>16</v>
      </c>
      <c r="AL1086" t="n">
        <v>0</v>
      </c>
      <c r="AM1086" t="n">
        <v>0</v>
      </c>
      <c r="AN1086" t="n">
        <v>0</v>
      </c>
      <c r="AO1086" t="n">
        <v>0</v>
      </c>
      <c r="AP1086" t="inlineStr">
        <is>
          <t>No</t>
        </is>
      </c>
      <c r="AQ1086" t="inlineStr">
        <is>
          <t>Yes</t>
        </is>
      </c>
      <c r="AR1086">
        <f>HYPERLINK("http://catalog.hathitrust.org/Record/000817310","HathiTrust Record")</f>
        <v/>
      </c>
      <c r="AS1086">
        <f>HYPERLINK("https://creighton-primo.hosted.exlibrisgroup.com/primo-explore/search?tab=default_tab&amp;search_scope=EVERYTHING&amp;vid=01CRU&amp;lang=en_US&amp;offset=0&amp;query=any,contains,991000638109702656","Catalog Record")</f>
        <v/>
      </c>
      <c r="AT1086">
        <f>HYPERLINK("http://www.worldcat.org/oclc/12084023","WorldCat Record")</f>
        <v/>
      </c>
      <c r="AU1086" t="inlineStr">
        <is>
          <t>4741479:eng</t>
        </is>
      </c>
      <c r="AV1086" t="inlineStr">
        <is>
          <t>12084023</t>
        </is>
      </c>
      <c r="AW1086" t="inlineStr">
        <is>
          <t>991000638109702656</t>
        </is>
      </c>
      <c r="AX1086" t="inlineStr">
        <is>
          <t>991000638109702656</t>
        </is>
      </c>
      <c r="AY1086" t="inlineStr">
        <is>
          <t>2262965740002656</t>
        </is>
      </c>
      <c r="AZ1086" t="inlineStr">
        <is>
          <t>BOOK</t>
        </is>
      </c>
      <c r="BB1086" t="inlineStr">
        <is>
          <t>9780894534690</t>
        </is>
      </c>
      <c r="BC1086" t="inlineStr">
        <is>
          <t>32285000904424</t>
        </is>
      </c>
      <c r="BD1086" t="inlineStr">
        <is>
          <t>893589623</t>
        </is>
      </c>
    </row>
    <row r="1087">
      <c r="A1087" t="inlineStr">
        <is>
          <t>No</t>
        </is>
      </c>
      <c r="B1087" t="inlineStr">
        <is>
          <t>BV670.2 .H25</t>
        </is>
      </c>
      <c r="C1087" t="inlineStr">
        <is>
          <t>0                      BV 0670200H  25</t>
        </is>
      </c>
      <c r="D1087" t="inlineStr">
        <is>
          <t>To preach the Gospel, the first duty of the bishop : reflections on the episcopal magisterium, November 12, 1978 ; Theology and the human sciences, theology and contemplation, November 13, 1978 / two addresses of Jerome Hamer.</t>
        </is>
      </c>
      <c r="F1087" t="inlineStr">
        <is>
          <t>No</t>
        </is>
      </c>
      <c r="G1087" t="inlineStr">
        <is>
          <t>1</t>
        </is>
      </c>
      <c r="H1087" t="inlineStr">
        <is>
          <t>No</t>
        </is>
      </c>
      <c r="I1087" t="inlineStr">
        <is>
          <t>No</t>
        </is>
      </c>
      <c r="J1087" t="inlineStr">
        <is>
          <t>0</t>
        </is>
      </c>
      <c r="K1087" t="inlineStr">
        <is>
          <t>Hamer, Jérôme.</t>
        </is>
      </c>
      <c r="L1087" t="inlineStr">
        <is>
          <t>Washington, D.C. : United States Catholic Conference, 1979.</t>
        </is>
      </c>
      <c r="M1087" t="inlineStr">
        <is>
          <t>1979</t>
        </is>
      </c>
      <c r="O1087" t="inlineStr">
        <is>
          <t>eng</t>
        </is>
      </c>
      <c r="P1087" t="inlineStr">
        <is>
          <t>dcu</t>
        </is>
      </c>
      <c r="R1087" t="inlineStr">
        <is>
          <t xml:space="preserve">BV </t>
        </is>
      </c>
      <c r="S1087" t="n">
        <v>1</v>
      </c>
      <c r="T1087" t="n">
        <v>1</v>
      </c>
      <c r="U1087" t="inlineStr">
        <is>
          <t>1994-06-29</t>
        </is>
      </c>
      <c r="V1087" t="inlineStr">
        <is>
          <t>1994-06-29</t>
        </is>
      </c>
      <c r="W1087" t="inlineStr">
        <is>
          <t>1992-01-17</t>
        </is>
      </c>
      <c r="X1087" t="inlineStr">
        <is>
          <t>1992-01-17</t>
        </is>
      </c>
      <c r="Y1087" t="n">
        <v>53</v>
      </c>
      <c r="Z1087" t="n">
        <v>51</v>
      </c>
      <c r="AA1087" t="n">
        <v>51</v>
      </c>
      <c r="AB1087" t="n">
        <v>2</v>
      </c>
      <c r="AC1087" t="n">
        <v>2</v>
      </c>
      <c r="AD1087" t="n">
        <v>10</v>
      </c>
      <c r="AE1087" t="n">
        <v>10</v>
      </c>
      <c r="AF1087" t="n">
        <v>2</v>
      </c>
      <c r="AG1087" t="n">
        <v>2</v>
      </c>
      <c r="AH1087" t="n">
        <v>3</v>
      </c>
      <c r="AI1087" t="n">
        <v>3</v>
      </c>
      <c r="AJ1087" t="n">
        <v>8</v>
      </c>
      <c r="AK1087" t="n">
        <v>8</v>
      </c>
      <c r="AL1087" t="n">
        <v>0</v>
      </c>
      <c r="AM1087" t="n">
        <v>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HYPERLINK("https://creighton-primo.hosted.exlibrisgroup.com/primo-explore/search?tab=default_tab&amp;search_scope=EVERYTHING&amp;vid=01CRU&amp;lang=en_US&amp;offset=0&amp;query=any,contains,991004854679702656","Catalog Record")</f>
        <v/>
      </c>
      <c r="AT1087">
        <f>HYPERLINK("http://www.worldcat.org/oclc/5665770","WorldCat Record")</f>
        <v/>
      </c>
      <c r="AU1087" t="inlineStr">
        <is>
          <t>1862840483:eng</t>
        </is>
      </c>
      <c r="AV1087" t="inlineStr">
        <is>
          <t>5665770</t>
        </is>
      </c>
      <c r="AW1087" t="inlineStr">
        <is>
          <t>991004854679702656</t>
        </is>
      </c>
      <c r="AX1087" t="inlineStr">
        <is>
          <t>991004854679702656</t>
        </is>
      </c>
      <c r="AY1087" t="inlineStr">
        <is>
          <t>2263862890002656</t>
        </is>
      </c>
      <c r="AZ1087" t="inlineStr">
        <is>
          <t>BOOK</t>
        </is>
      </c>
      <c r="BC1087" t="inlineStr">
        <is>
          <t>32285000904432</t>
        </is>
      </c>
      <c r="BD1087" t="inlineStr">
        <is>
          <t>893229922</t>
        </is>
      </c>
    </row>
    <row r="1088">
      <c r="A1088" t="inlineStr">
        <is>
          <t>No</t>
        </is>
      </c>
      <c r="B1088" t="inlineStr">
        <is>
          <t>BV675 .B43 2000</t>
        </is>
      </c>
      <c r="C1088" t="inlineStr">
        <is>
          <t>0                      BV 0675000B  43          2000</t>
        </is>
      </c>
      <c r="D1088" t="inlineStr">
        <is>
          <t>Becoming colleagues : women and men serving together in faith / Carol E. Becker.</t>
        </is>
      </c>
      <c r="F1088" t="inlineStr">
        <is>
          <t>No</t>
        </is>
      </c>
      <c r="G1088" t="inlineStr">
        <is>
          <t>1</t>
        </is>
      </c>
      <c r="H1088" t="inlineStr">
        <is>
          <t>No</t>
        </is>
      </c>
      <c r="I1088" t="inlineStr">
        <is>
          <t>No</t>
        </is>
      </c>
      <c r="J1088" t="inlineStr">
        <is>
          <t>0</t>
        </is>
      </c>
      <c r="K1088" t="inlineStr">
        <is>
          <t>Becker, Carol E.</t>
        </is>
      </c>
      <c r="L1088" t="inlineStr">
        <is>
          <t>San Francisco : Jossey-Bass, c2000.</t>
        </is>
      </c>
      <c r="M1088" t="inlineStr">
        <is>
          <t>2000</t>
        </is>
      </c>
      <c r="N1088" t="inlineStr">
        <is>
          <t>1st ed.</t>
        </is>
      </c>
      <c r="O1088" t="inlineStr">
        <is>
          <t>eng</t>
        </is>
      </c>
      <c r="P1088" t="inlineStr">
        <is>
          <t>cau</t>
        </is>
      </c>
      <c r="R1088" t="inlineStr">
        <is>
          <t xml:space="preserve">BV </t>
        </is>
      </c>
      <c r="S1088" t="n">
        <v>1</v>
      </c>
      <c r="T1088" t="n">
        <v>1</v>
      </c>
      <c r="U1088" t="inlineStr">
        <is>
          <t>2006-05-10</t>
        </is>
      </c>
      <c r="V1088" t="inlineStr">
        <is>
          <t>2006-05-10</t>
        </is>
      </c>
      <c r="W1088" t="inlineStr">
        <is>
          <t>2006-05-10</t>
        </is>
      </c>
      <c r="X1088" t="inlineStr">
        <is>
          <t>2006-05-10</t>
        </is>
      </c>
      <c r="Y1088" t="n">
        <v>222</v>
      </c>
      <c r="Z1088" t="n">
        <v>192</v>
      </c>
      <c r="AA1088" t="n">
        <v>192</v>
      </c>
      <c r="AB1088" t="n">
        <v>4</v>
      </c>
      <c r="AC1088" t="n">
        <v>4</v>
      </c>
      <c r="AD1088" t="n">
        <v>15</v>
      </c>
      <c r="AE1088" t="n">
        <v>15</v>
      </c>
      <c r="AF1088" t="n">
        <v>4</v>
      </c>
      <c r="AG1088" t="n">
        <v>4</v>
      </c>
      <c r="AH1088" t="n">
        <v>4</v>
      </c>
      <c r="AI1088" t="n">
        <v>4</v>
      </c>
      <c r="AJ1088" t="n">
        <v>8</v>
      </c>
      <c r="AK1088" t="n">
        <v>8</v>
      </c>
      <c r="AL1088" t="n">
        <v>3</v>
      </c>
      <c r="AM1088" t="n">
        <v>3</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HYPERLINK("https://creighton-primo.hosted.exlibrisgroup.com/primo-explore/search?tab=default_tab&amp;search_scope=EVERYTHING&amp;vid=01CRU&amp;lang=en_US&amp;offset=0&amp;query=any,contains,991004794399702656","Catalog Record")</f>
        <v/>
      </c>
      <c r="AT1088">
        <f>HYPERLINK("http://www.worldcat.org/oclc/43615570","WorldCat Record")</f>
        <v/>
      </c>
      <c r="AU1088" t="inlineStr">
        <is>
          <t>836948598:eng</t>
        </is>
      </c>
      <c r="AV1088" t="inlineStr">
        <is>
          <t>43615570</t>
        </is>
      </c>
      <c r="AW1088" t="inlineStr">
        <is>
          <t>991004794399702656</t>
        </is>
      </c>
      <c r="AX1088" t="inlineStr">
        <is>
          <t>991004794399702656</t>
        </is>
      </c>
      <c r="AY1088" t="inlineStr">
        <is>
          <t>2264316420002656</t>
        </is>
      </c>
      <c r="AZ1088" t="inlineStr">
        <is>
          <t>BOOK</t>
        </is>
      </c>
      <c r="BB1088" t="inlineStr">
        <is>
          <t>9780787947095</t>
        </is>
      </c>
      <c r="BC1088" t="inlineStr">
        <is>
          <t>32285005186555</t>
        </is>
      </c>
      <c r="BD1088" t="inlineStr">
        <is>
          <t>893532818</t>
        </is>
      </c>
    </row>
    <row r="1089">
      <c r="A1089" t="inlineStr">
        <is>
          <t>No</t>
        </is>
      </c>
      <c r="B1089" t="inlineStr">
        <is>
          <t>BV675 .H46 1985</t>
        </is>
      </c>
      <c r="C1089" t="inlineStr">
        <is>
          <t>0                      BV 0675000H  46          1985</t>
        </is>
      </c>
      <c r="D1089" t="inlineStr">
        <is>
          <t>How to develop a team ministry and make it work / Ervin F. Henkelmann, Stephen J. Carter.</t>
        </is>
      </c>
      <c r="F1089" t="inlineStr">
        <is>
          <t>No</t>
        </is>
      </c>
      <c r="G1089" t="inlineStr">
        <is>
          <t>1</t>
        </is>
      </c>
      <c r="H1089" t="inlineStr">
        <is>
          <t>No</t>
        </is>
      </c>
      <c r="I1089" t="inlineStr">
        <is>
          <t>No</t>
        </is>
      </c>
      <c r="J1089" t="inlineStr">
        <is>
          <t>0</t>
        </is>
      </c>
      <c r="K1089" t="inlineStr">
        <is>
          <t>Henkelmann, Ervin F., 1938-</t>
        </is>
      </c>
      <c r="L1089" t="inlineStr">
        <is>
          <t>St. Louis, MO : Concordia, c1985.</t>
        </is>
      </c>
      <c r="M1089" t="inlineStr">
        <is>
          <t>1985</t>
        </is>
      </c>
      <c r="O1089" t="inlineStr">
        <is>
          <t>eng</t>
        </is>
      </c>
      <c r="P1089" t="inlineStr">
        <is>
          <t>mou</t>
        </is>
      </c>
      <c r="R1089" t="inlineStr">
        <is>
          <t xml:space="preserve">BV </t>
        </is>
      </c>
      <c r="S1089" t="n">
        <v>6</v>
      </c>
      <c r="T1089" t="n">
        <v>6</v>
      </c>
      <c r="U1089" t="inlineStr">
        <is>
          <t>1994-03-15</t>
        </is>
      </c>
      <c r="V1089" t="inlineStr">
        <is>
          <t>1994-03-15</t>
        </is>
      </c>
      <c r="W1089" t="inlineStr">
        <is>
          <t>1990-07-13</t>
        </is>
      </c>
      <c r="X1089" t="inlineStr">
        <is>
          <t>1990-07-13</t>
        </is>
      </c>
      <c r="Y1089" t="n">
        <v>78</v>
      </c>
      <c r="Z1089" t="n">
        <v>56</v>
      </c>
      <c r="AA1089" t="n">
        <v>56</v>
      </c>
      <c r="AB1089" t="n">
        <v>2</v>
      </c>
      <c r="AC1089" t="n">
        <v>2</v>
      </c>
      <c r="AD1089" t="n">
        <v>2</v>
      </c>
      <c r="AE1089" t="n">
        <v>2</v>
      </c>
      <c r="AF1089" t="n">
        <v>1</v>
      </c>
      <c r="AG1089" t="n">
        <v>1</v>
      </c>
      <c r="AH1089" t="n">
        <v>0</v>
      </c>
      <c r="AI1089" t="n">
        <v>0</v>
      </c>
      <c r="AJ1089" t="n">
        <v>0</v>
      </c>
      <c r="AK1089" t="n">
        <v>0</v>
      </c>
      <c r="AL1089" t="n">
        <v>1</v>
      </c>
      <c r="AM1089" t="n">
        <v>1</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HYPERLINK("https://creighton-primo.hosted.exlibrisgroup.com/primo-explore/search?tab=default_tab&amp;search_scope=EVERYTHING&amp;vid=01CRU&amp;lang=en_US&amp;offset=0&amp;query=any,contains,991000475589702656","Catalog Record")</f>
        <v/>
      </c>
      <c r="AT1089">
        <f>HYPERLINK("http://www.worldcat.org/oclc/11029670","WorldCat Record")</f>
        <v/>
      </c>
      <c r="AU1089" t="inlineStr">
        <is>
          <t>3857699:eng</t>
        </is>
      </c>
      <c r="AV1089" t="inlineStr">
        <is>
          <t>11029670</t>
        </is>
      </c>
      <c r="AW1089" t="inlineStr">
        <is>
          <t>991000475589702656</t>
        </is>
      </c>
      <c r="AX1089" t="inlineStr">
        <is>
          <t>991000475589702656</t>
        </is>
      </c>
      <c r="AY1089" t="inlineStr">
        <is>
          <t>2265937740002656</t>
        </is>
      </c>
      <c r="AZ1089" t="inlineStr">
        <is>
          <t>BOOK</t>
        </is>
      </c>
      <c r="BB1089" t="inlineStr">
        <is>
          <t>9780570039464</t>
        </is>
      </c>
      <c r="BC1089" t="inlineStr">
        <is>
          <t>32285000236827</t>
        </is>
      </c>
      <c r="BD1089" t="inlineStr">
        <is>
          <t>893508816</t>
        </is>
      </c>
    </row>
    <row r="1090">
      <c r="A1090" t="inlineStr">
        <is>
          <t>No</t>
        </is>
      </c>
      <c r="B1090" t="inlineStr">
        <is>
          <t>BV676 .F47 1978</t>
        </is>
      </c>
      <c r="C1090" t="inlineStr">
        <is>
          <t>0                      BV 0676000F  47          1978</t>
        </is>
      </c>
      <c r="D1090" t="inlineStr">
        <is>
          <t>Called to break bread? : A psychological investigation of 100 women who feel called to priesthood in the Catholic Church / Fran Ferder.</t>
        </is>
      </c>
      <c r="F1090" t="inlineStr">
        <is>
          <t>No</t>
        </is>
      </c>
      <c r="G1090" t="inlineStr">
        <is>
          <t>1</t>
        </is>
      </c>
      <c r="H1090" t="inlineStr">
        <is>
          <t>No</t>
        </is>
      </c>
      <c r="I1090" t="inlineStr">
        <is>
          <t>No</t>
        </is>
      </c>
      <c r="J1090" t="inlineStr">
        <is>
          <t>0</t>
        </is>
      </c>
      <c r="K1090" t="inlineStr">
        <is>
          <t>Ferder, Fran.</t>
        </is>
      </c>
      <c r="L1090" t="inlineStr">
        <is>
          <t>Mt. Rainier, MD : Quixote Center, c1978.</t>
        </is>
      </c>
      <c r="M1090" t="inlineStr">
        <is>
          <t>1978</t>
        </is>
      </c>
      <c r="O1090" t="inlineStr">
        <is>
          <t>eng</t>
        </is>
      </c>
      <c r="P1090" t="inlineStr">
        <is>
          <t>mdu</t>
        </is>
      </c>
      <c r="R1090" t="inlineStr">
        <is>
          <t xml:space="preserve">BV </t>
        </is>
      </c>
      <c r="S1090" t="n">
        <v>3</v>
      </c>
      <c r="T1090" t="n">
        <v>3</v>
      </c>
      <c r="U1090" t="inlineStr">
        <is>
          <t>2002-05-07</t>
        </is>
      </c>
      <c r="V1090" t="inlineStr">
        <is>
          <t>2002-05-07</t>
        </is>
      </c>
      <c r="W1090" t="inlineStr">
        <is>
          <t>1998-11-02</t>
        </is>
      </c>
      <c r="X1090" t="inlineStr">
        <is>
          <t>1998-11-02</t>
        </is>
      </c>
      <c r="Y1090" t="n">
        <v>298</v>
      </c>
      <c r="Z1090" t="n">
        <v>278</v>
      </c>
      <c r="AA1090" t="n">
        <v>280</v>
      </c>
      <c r="AB1090" t="n">
        <v>4</v>
      </c>
      <c r="AC1090" t="n">
        <v>4</v>
      </c>
      <c r="AD1090" t="n">
        <v>26</v>
      </c>
      <c r="AE1090" t="n">
        <v>26</v>
      </c>
      <c r="AF1090" t="n">
        <v>6</v>
      </c>
      <c r="AG1090" t="n">
        <v>6</v>
      </c>
      <c r="AH1090" t="n">
        <v>6</v>
      </c>
      <c r="AI1090" t="n">
        <v>6</v>
      </c>
      <c r="AJ1090" t="n">
        <v>17</v>
      </c>
      <c r="AK1090" t="n">
        <v>17</v>
      </c>
      <c r="AL1090" t="n">
        <v>3</v>
      </c>
      <c r="AM1090" t="n">
        <v>3</v>
      </c>
      <c r="AN1090" t="n">
        <v>0</v>
      </c>
      <c r="AO1090" t="n">
        <v>0</v>
      </c>
      <c r="AP1090" t="inlineStr">
        <is>
          <t>No</t>
        </is>
      </c>
      <c r="AQ1090" t="inlineStr">
        <is>
          <t>Yes</t>
        </is>
      </c>
      <c r="AR1090">
        <f>HYPERLINK("http://catalog.hathitrust.org/Record/000083389","HathiTrust Record")</f>
        <v/>
      </c>
      <c r="AS1090">
        <f>HYPERLINK("https://creighton-primo.hosted.exlibrisgroup.com/primo-explore/search?tab=default_tab&amp;search_scope=EVERYTHING&amp;vid=01CRU&amp;lang=en_US&amp;offset=0&amp;query=any,contains,991004630379702656","Catalog Record")</f>
        <v/>
      </c>
      <c r="AT1090">
        <f>HYPERLINK("http://www.worldcat.org/oclc/4366494","WorldCat Record")</f>
        <v/>
      </c>
      <c r="AU1090" t="inlineStr">
        <is>
          <t>14675033:eng</t>
        </is>
      </c>
      <c r="AV1090" t="inlineStr">
        <is>
          <t>4366494</t>
        </is>
      </c>
      <c r="AW1090" t="inlineStr">
        <is>
          <t>991004630379702656</t>
        </is>
      </c>
      <c r="AX1090" t="inlineStr">
        <is>
          <t>991004630379702656</t>
        </is>
      </c>
      <c r="AY1090" t="inlineStr">
        <is>
          <t>2267979560002656</t>
        </is>
      </c>
      <c r="AZ1090" t="inlineStr">
        <is>
          <t>BOOK</t>
        </is>
      </c>
      <c r="BC1090" t="inlineStr">
        <is>
          <t>32285003479390</t>
        </is>
      </c>
      <c r="BD1090" t="inlineStr">
        <is>
          <t>893344051</t>
        </is>
      </c>
    </row>
    <row r="1091">
      <c r="A1091" t="inlineStr">
        <is>
          <t>No</t>
        </is>
      </c>
      <c r="B1091" t="inlineStr">
        <is>
          <t>BV676 .L39 1988</t>
        </is>
      </c>
      <c r="C1091" t="inlineStr">
        <is>
          <t>0                      BV 0676000L  39          1988</t>
        </is>
      </c>
      <c r="D1091" t="inlineStr">
        <is>
          <t>Handmaidens of the Lord : Pentecostal women preachers and traditional religion / Elaine J. Lawless.</t>
        </is>
      </c>
      <c r="F1091" t="inlineStr">
        <is>
          <t>No</t>
        </is>
      </c>
      <c r="G1091" t="inlineStr">
        <is>
          <t>1</t>
        </is>
      </c>
      <c r="H1091" t="inlineStr">
        <is>
          <t>No</t>
        </is>
      </c>
      <c r="I1091" t="inlineStr">
        <is>
          <t>No</t>
        </is>
      </c>
      <c r="J1091" t="inlineStr">
        <is>
          <t>0</t>
        </is>
      </c>
      <c r="K1091" t="inlineStr">
        <is>
          <t>Lawless, Elaine J.</t>
        </is>
      </c>
      <c r="L1091" t="inlineStr">
        <is>
          <t>Philadelphia : University of Pennsylvania Press, c1988.</t>
        </is>
      </c>
      <c r="M1091" t="inlineStr">
        <is>
          <t>1988</t>
        </is>
      </c>
      <c r="O1091" t="inlineStr">
        <is>
          <t>eng</t>
        </is>
      </c>
      <c r="P1091" t="inlineStr">
        <is>
          <t>pau</t>
        </is>
      </c>
      <c r="Q1091" t="inlineStr">
        <is>
          <t>Publications of the American Folklore Society. New series ; v. 9</t>
        </is>
      </c>
      <c r="R1091" t="inlineStr">
        <is>
          <t xml:space="preserve">BV </t>
        </is>
      </c>
      <c r="S1091" t="n">
        <v>4</v>
      </c>
      <c r="T1091" t="n">
        <v>4</v>
      </c>
      <c r="U1091" t="inlineStr">
        <is>
          <t>1999-04-27</t>
        </is>
      </c>
      <c r="V1091" t="inlineStr">
        <is>
          <t>1999-04-27</t>
        </is>
      </c>
      <c r="W1091" t="inlineStr">
        <is>
          <t>1991-04-10</t>
        </is>
      </c>
      <c r="X1091" t="inlineStr">
        <is>
          <t>1991-04-10</t>
        </is>
      </c>
      <c r="Y1091" t="n">
        <v>566</v>
      </c>
      <c r="Z1091" t="n">
        <v>513</v>
      </c>
      <c r="AA1091" t="n">
        <v>764</v>
      </c>
      <c r="AB1091" t="n">
        <v>5</v>
      </c>
      <c r="AC1091" t="n">
        <v>6</v>
      </c>
      <c r="AD1091" t="n">
        <v>27</v>
      </c>
      <c r="AE1091" t="n">
        <v>34</v>
      </c>
      <c r="AF1091" t="n">
        <v>9</v>
      </c>
      <c r="AG1091" t="n">
        <v>13</v>
      </c>
      <c r="AH1091" t="n">
        <v>9</v>
      </c>
      <c r="AI1091" t="n">
        <v>9</v>
      </c>
      <c r="AJ1091" t="n">
        <v>13</v>
      </c>
      <c r="AK1091" t="n">
        <v>16</v>
      </c>
      <c r="AL1091" t="n">
        <v>4</v>
      </c>
      <c r="AM1091" t="n">
        <v>5</v>
      </c>
      <c r="AN1091" t="n">
        <v>0</v>
      </c>
      <c r="AO1091" t="n">
        <v>0</v>
      </c>
      <c r="AP1091" t="inlineStr">
        <is>
          <t>No</t>
        </is>
      </c>
      <c r="AQ1091" t="inlineStr">
        <is>
          <t>Yes</t>
        </is>
      </c>
      <c r="AR1091">
        <f>HYPERLINK("http://catalog.hathitrust.org/Record/004416495","HathiTrust Record")</f>
        <v/>
      </c>
      <c r="AS1091">
        <f>HYPERLINK("https://creighton-primo.hosted.exlibrisgroup.com/primo-explore/search?tab=default_tab&amp;search_scope=EVERYTHING&amp;vid=01CRU&amp;lang=en_US&amp;offset=0&amp;query=any,contains,991001251249702656","Catalog Record")</f>
        <v/>
      </c>
      <c r="AT1091">
        <f>HYPERLINK("http://www.worldcat.org/oclc/17676763","WorldCat Record")</f>
        <v/>
      </c>
      <c r="AU1091" t="inlineStr">
        <is>
          <t>867914587:eng</t>
        </is>
      </c>
      <c r="AV1091" t="inlineStr">
        <is>
          <t>17676763</t>
        </is>
      </c>
      <c r="AW1091" t="inlineStr">
        <is>
          <t>991001251249702656</t>
        </is>
      </c>
      <c r="AX1091" t="inlineStr">
        <is>
          <t>991001251249702656</t>
        </is>
      </c>
      <c r="AY1091" t="inlineStr">
        <is>
          <t>2260490930002656</t>
        </is>
      </c>
      <c r="AZ1091" t="inlineStr">
        <is>
          <t>BOOK</t>
        </is>
      </c>
      <c r="BB1091" t="inlineStr">
        <is>
          <t>9780812281002</t>
        </is>
      </c>
      <c r="BC1091" t="inlineStr">
        <is>
          <t>32285000567296</t>
        </is>
      </c>
      <c r="BD1091" t="inlineStr">
        <is>
          <t>893803486</t>
        </is>
      </c>
    </row>
    <row r="1092">
      <c r="A1092" t="inlineStr">
        <is>
          <t>No</t>
        </is>
      </c>
      <c r="B1092" t="inlineStr">
        <is>
          <t>BV680 .B37 1981</t>
        </is>
      </c>
      <c r="C1092" t="inlineStr">
        <is>
          <t>0                      BV 0680000B  37          1981</t>
        </is>
      </c>
      <c r="D1092" t="inlineStr">
        <is>
          <t>The diaconate--a full and equal order : a comprehensive and critical study of the origin, development, and decline of the diaconate in the context of the church's total ministry and a proposal for renewal / James Monroe Barnett.</t>
        </is>
      </c>
      <c r="F1092" t="inlineStr">
        <is>
          <t>No</t>
        </is>
      </c>
      <c r="G1092" t="inlineStr">
        <is>
          <t>1</t>
        </is>
      </c>
      <c r="H1092" t="inlineStr">
        <is>
          <t>No</t>
        </is>
      </c>
      <c r="I1092" t="inlineStr">
        <is>
          <t>No</t>
        </is>
      </c>
      <c r="J1092" t="inlineStr">
        <is>
          <t>0</t>
        </is>
      </c>
      <c r="K1092" t="inlineStr">
        <is>
          <t>Barnett, James Monroe.</t>
        </is>
      </c>
      <c r="L1092" t="inlineStr">
        <is>
          <t>New York : Seabury Press, 1981.</t>
        </is>
      </c>
      <c r="M1092" t="inlineStr">
        <is>
          <t>1981</t>
        </is>
      </c>
      <c r="O1092" t="inlineStr">
        <is>
          <t>eng</t>
        </is>
      </c>
      <c r="P1092" t="inlineStr">
        <is>
          <t>nyu</t>
        </is>
      </c>
      <c r="R1092" t="inlineStr">
        <is>
          <t xml:space="preserve">BV </t>
        </is>
      </c>
      <c r="S1092" t="n">
        <v>1</v>
      </c>
      <c r="T1092" t="n">
        <v>1</v>
      </c>
      <c r="U1092" t="inlineStr">
        <is>
          <t>2000-10-13</t>
        </is>
      </c>
      <c r="V1092" t="inlineStr">
        <is>
          <t>2000-10-13</t>
        </is>
      </c>
      <c r="W1092" t="inlineStr">
        <is>
          <t>1992-01-17</t>
        </is>
      </c>
      <c r="X1092" t="inlineStr">
        <is>
          <t>1992-01-17</t>
        </is>
      </c>
      <c r="Y1092" t="n">
        <v>283</v>
      </c>
      <c r="Z1092" t="n">
        <v>222</v>
      </c>
      <c r="AA1092" t="n">
        <v>226</v>
      </c>
      <c r="AB1092" t="n">
        <v>4</v>
      </c>
      <c r="AC1092" t="n">
        <v>4</v>
      </c>
      <c r="AD1092" t="n">
        <v>20</v>
      </c>
      <c r="AE1092" t="n">
        <v>20</v>
      </c>
      <c r="AF1092" t="n">
        <v>4</v>
      </c>
      <c r="AG1092" t="n">
        <v>4</v>
      </c>
      <c r="AH1092" t="n">
        <v>7</v>
      </c>
      <c r="AI1092" t="n">
        <v>7</v>
      </c>
      <c r="AJ1092" t="n">
        <v>12</v>
      </c>
      <c r="AK1092" t="n">
        <v>12</v>
      </c>
      <c r="AL1092" t="n">
        <v>2</v>
      </c>
      <c r="AM1092" t="n">
        <v>2</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HYPERLINK("https://creighton-primo.hosted.exlibrisgroup.com/primo-explore/search?tab=default_tab&amp;search_scope=EVERYTHING&amp;vid=01CRU&amp;lang=en_US&amp;offset=0&amp;query=any,contains,991005135099702656","Catalog Record")</f>
        <v/>
      </c>
      <c r="AT1092">
        <f>HYPERLINK("http://www.worldcat.org/oclc/7576149","WorldCat Record")</f>
        <v/>
      </c>
      <c r="AU1092" t="inlineStr">
        <is>
          <t>235608681:eng</t>
        </is>
      </c>
      <c r="AV1092" t="inlineStr">
        <is>
          <t>7576149</t>
        </is>
      </c>
      <c r="AW1092" t="inlineStr">
        <is>
          <t>991005135099702656</t>
        </is>
      </c>
      <c r="AX1092" t="inlineStr">
        <is>
          <t>991005135099702656</t>
        </is>
      </c>
      <c r="AY1092" t="inlineStr">
        <is>
          <t>2266112780002656</t>
        </is>
      </c>
      <c r="AZ1092" t="inlineStr">
        <is>
          <t>BOOK</t>
        </is>
      </c>
      <c r="BB1092" t="inlineStr">
        <is>
          <t>9780816404971</t>
        </is>
      </c>
      <c r="BC1092" t="inlineStr">
        <is>
          <t>32285000904564</t>
        </is>
      </c>
      <c r="BD1092" t="inlineStr">
        <is>
          <t>893883385</t>
        </is>
      </c>
    </row>
    <row r="1093">
      <c r="A1093" t="inlineStr">
        <is>
          <t>No</t>
        </is>
      </c>
      <c r="B1093" t="inlineStr">
        <is>
          <t>BV680 .E25 1971</t>
        </is>
      </c>
      <c r="C1093" t="inlineStr">
        <is>
          <t>0                      BV 0680000E  25          1971</t>
        </is>
      </c>
      <c r="D1093" t="inlineStr">
        <is>
          <t>The deacon in the Church : past time and future / [by] Edward P. Echlin.</t>
        </is>
      </c>
      <c r="F1093" t="inlineStr">
        <is>
          <t>No</t>
        </is>
      </c>
      <c r="G1093" t="inlineStr">
        <is>
          <t>1</t>
        </is>
      </c>
      <c r="H1093" t="inlineStr">
        <is>
          <t>No</t>
        </is>
      </c>
      <c r="I1093" t="inlineStr">
        <is>
          <t>No</t>
        </is>
      </c>
      <c r="J1093" t="inlineStr">
        <is>
          <t>0</t>
        </is>
      </c>
      <c r="K1093" t="inlineStr">
        <is>
          <t>Echlin, Edward P.</t>
        </is>
      </c>
      <c r="L1093" t="inlineStr">
        <is>
          <t>Staten Island, N.Y. : Alba House, [1971]</t>
        </is>
      </c>
      <c r="M1093" t="inlineStr">
        <is>
          <t>1971</t>
        </is>
      </c>
      <c r="O1093" t="inlineStr">
        <is>
          <t>eng</t>
        </is>
      </c>
      <c r="P1093" t="inlineStr">
        <is>
          <t>nyu</t>
        </is>
      </c>
      <c r="R1093" t="inlineStr">
        <is>
          <t xml:space="preserve">BV </t>
        </is>
      </c>
      <c r="S1093" t="n">
        <v>5</v>
      </c>
      <c r="T1093" t="n">
        <v>5</v>
      </c>
      <c r="U1093" t="inlineStr">
        <is>
          <t>1997-01-27</t>
        </is>
      </c>
      <c r="V1093" t="inlineStr">
        <is>
          <t>1997-01-27</t>
        </is>
      </c>
      <c r="W1093" t="inlineStr">
        <is>
          <t>1992-02-17</t>
        </is>
      </c>
      <c r="X1093" t="inlineStr">
        <is>
          <t>1992-02-17</t>
        </is>
      </c>
      <c r="Y1093" t="n">
        <v>233</v>
      </c>
      <c r="Z1093" t="n">
        <v>201</v>
      </c>
      <c r="AA1093" t="n">
        <v>204</v>
      </c>
      <c r="AB1093" t="n">
        <v>2</v>
      </c>
      <c r="AC1093" t="n">
        <v>2</v>
      </c>
      <c r="AD1093" t="n">
        <v>25</v>
      </c>
      <c r="AE1093" t="n">
        <v>25</v>
      </c>
      <c r="AF1093" t="n">
        <v>8</v>
      </c>
      <c r="AG1093" t="n">
        <v>8</v>
      </c>
      <c r="AH1093" t="n">
        <v>6</v>
      </c>
      <c r="AI1093" t="n">
        <v>6</v>
      </c>
      <c r="AJ1093" t="n">
        <v>19</v>
      </c>
      <c r="AK1093" t="n">
        <v>19</v>
      </c>
      <c r="AL1093" t="n">
        <v>1</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HYPERLINK("https://creighton-primo.hosted.exlibrisgroup.com/primo-explore/search?tab=default_tab&amp;search_scope=EVERYTHING&amp;vid=01CRU&amp;lang=en_US&amp;offset=0&amp;query=any,contains,991001241569702656","Catalog Record")</f>
        <v/>
      </c>
      <c r="AT1093">
        <f>HYPERLINK("http://www.worldcat.org/oclc/207847","WorldCat Record")</f>
        <v/>
      </c>
      <c r="AU1093" t="inlineStr">
        <is>
          <t>1274637:eng</t>
        </is>
      </c>
      <c r="AV1093" t="inlineStr">
        <is>
          <t>207847</t>
        </is>
      </c>
      <c r="AW1093" t="inlineStr">
        <is>
          <t>991001241569702656</t>
        </is>
      </c>
      <c r="AX1093" t="inlineStr">
        <is>
          <t>991001241569702656</t>
        </is>
      </c>
      <c r="AY1093" t="inlineStr">
        <is>
          <t>2266980230002656</t>
        </is>
      </c>
      <c r="AZ1093" t="inlineStr">
        <is>
          <t>BOOK</t>
        </is>
      </c>
      <c r="BB1093" t="inlineStr">
        <is>
          <t>9780818902130</t>
        </is>
      </c>
      <c r="BC1093" t="inlineStr">
        <is>
          <t>32285000970490</t>
        </is>
      </c>
      <c r="BD1093" t="inlineStr">
        <is>
          <t>893516030</t>
        </is>
      </c>
    </row>
    <row r="1094">
      <c r="A1094" t="inlineStr">
        <is>
          <t>No</t>
        </is>
      </c>
      <c r="B1094" t="inlineStr">
        <is>
          <t>BV700 .P27 1986</t>
        </is>
      </c>
      <c r="C1094" t="inlineStr">
        <is>
          <t>0                      BV 0700000P  27          1986</t>
        </is>
      </c>
      <c r="D1094" t="inlineStr">
        <is>
          <t>The Parish in transition : proceedings of a conference on the American Catholic parish / edited by David Byers ; sponsored by Foundations and Donors Interested in Catholic Activities, Inc., in association with Bishops' Committee on Priestly Life and Ministry, National Conference of Catholic Bishops ; Institute for Pastoral and Social Ministry, University of Notre Dame ; Lilly Endowment, Inc. ; National Pastoral Life Center.</t>
        </is>
      </c>
      <c r="F1094" t="inlineStr">
        <is>
          <t>No</t>
        </is>
      </c>
      <c r="G1094" t="inlineStr">
        <is>
          <t>1</t>
        </is>
      </c>
      <c r="H1094" t="inlineStr">
        <is>
          <t>No</t>
        </is>
      </c>
      <c r="I1094" t="inlineStr">
        <is>
          <t>No</t>
        </is>
      </c>
      <c r="J1094" t="inlineStr">
        <is>
          <t>0</t>
        </is>
      </c>
      <c r="L1094" t="inlineStr">
        <is>
          <t>Washington, D.C. : United States Catholic Conference, c1986.</t>
        </is>
      </c>
      <c r="M1094" t="inlineStr">
        <is>
          <t>1986</t>
        </is>
      </c>
      <c r="O1094" t="inlineStr">
        <is>
          <t>eng</t>
        </is>
      </c>
      <c r="P1094" t="inlineStr">
        <is>
          <t>dcu</t>
        </is>
      </c>
      <c r="Q1094" t="inlineStr">
        <is>
          <t>Publication / United States Catholic Conference. Office of Publishing and Promotion Services ; no. 967</t>
        </is>
      </c>
      <c r="R1094" t="inlineStr">
        <is>
          <t xml:space="preserve">BV </t>
        </is>
      </c>
      <c r="S1094" t="n">
        <v>2</v>
      </c>
      <c r="T1094" t="n">
        <v>2</v>
      </c>
      <c r="U1094" t="inlineStr">
        <is>
          <t>1995-10-04</t>
        </is>
      </c>
      <c r="V1094" t="inlineStr">
        <is>
          <t>1995-10-04</t>
        </is>
      </c>
      <c r="W1094" t="inlineStr">
        <is>
          <t>1990-05-24</t>
        </is>
      </c>
      <c r="X1094" t="inlineStr">
        <is>
          <t>1990-05-24</t>
        </is>
      </c>
      <c r="Y1094" t="n">
        <v>51</v>
      </c>
      <c r="Z1094" t="n">
        <v>51</v>
      </c>
      <c r="AA1094" t="n">
        <v>51</v>
      </c>
      <c r="AB1094" t="n">
        <v>1</v>
      </c>
      <c r="AC1094" t="n">
        <v>1</v>
      </c>
      <c r="AD1094" t="n">
        <v>9</v>
      </c>
      <c r="AE1094" t="n">
        <v>9</v>
      </c>
      <c r="AF1094" t="n">
        <v>2</v>
      </c>
      <c r="AG1094" t="n">
        <v>2</v>
      </c>
      <c r="AH1094" t="n">
        <v>3</v>
      </c>
      <c r="AI1094" t="n">
        <v>3</v>
      </c>
      <c r="AJ1094" t="n">
        <v>6</v>
      </c>
      <c r="AK1094" t="n">
        <v>6</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HYPERLINK("https://creighton-primo.hosted.exlibrisgroup.com/primo-explore/search?tab=default_tab&amp;search_scope=EVERYTHING&amp;vid=01CRU&amp;lang=en_US&amp;offset=0&amp;query=any,contains,991000835069702656","Catalog Record")</f>
        <v/>
      </c>
      <c r="AT1094">
        <f>HYPERLINK("http://www.worldcat.org/oclc/13469990","WorldCat Record")</f>
        <v/>
      </c>
      <c r="AU1094" t="inlineStr">
        <is>
          <t>7190395:eng</t>
        </is>
      </c>
      <c r="AV1094" t="inlineStr">
        <is>
          <t>13469990</t>
        </is>
      </c>
      <c r="AW1094" t="inlineStr">
        <is>
          <t>991000835069702656</t>
        </is>
      </c>
      <c r="AX1094" t="inlineStr">
        <is>
          <t>991000835069702656</t>
        </is>
      </c>
      <c r="AY1094" t="inlineStr">
        <is>
          <t>2262075090002656</t>
        </is>
      </c>
      <c r="AZ1094" t="inlineStr">
        <is>
          <t>BOOK</t>
        </is>
      </c>
      <c r="BC1094" t="inlineStr">
        <is>
          <t>32285000166396</t>
        </is>
      </c>
      <c r="BD1094" t="inlineStr">
        <is>
          <t>893714939</t>
        </is>
      </c>
    </row>
    <row r="1095">
      <c r="A1095" t="inlineStr">
        <is>
          <t>No</t>
        </is>
      </c>
      <c r="B1095" t="inlineStr">
        <is>
          <t>BV700 .P366 1983</t>
        </is>
      </c>
      <c r="C1095" t="inlineStr">
        <is>
          <t>0                      BV 0700000P  366         1983</t>
        </is>
      </c>
      <c r="D1095" t="inlineStr">
        <is>
          <t>Parish life in the United States : final report to the Bishops of the United States / by the Parish Project, Staff to the Committee on the Parish, National Conference of Catholic Bishops ; [text prepared by Philip J. Murnion].</t>
        </is>
      </c>
      <c r="F1095" t="inlineStr">
        <is>
          <t>No</t>
        </is>
      </c>
      <c r="G1095" t="inlineStr">
        <is>
          <t>1</t>
        </is>
      </c>
      <c r="H1095" t="inlineStr">
        <is>
          <t>No</t>
        </is>
      </c>
      <c r="I1095" t="inlineStr">
        <is>
          <t>No</t>
        </is>
      </c>
      <c r="J1095" t="inlineStr">
        <is>
          <t>0</t>
        </is>
      </c>
      <c r="L1095" t="inlineStr">
        <is>
          <t>Washington, D.C. : Office of Publishing Services, United States Catholic Conference, c1983.</t>
        </is>
      </c>
      <c r="M1095" t="inlineStr">
        <is>
          <t>1983</t>
        </is>
      </c>
      <c r="O1095" t="inlineStr">
        <is>
          <t>eng</t>
        </is>
      </c>
      <c r="P1095" t="inlineStr">
        <is>
          <t>dcu</t>
        </is>
      </c>
      <c r="R1095" t="inlineStr">
        <is>
          <t xml:space="preserve">BV </t>
        </is>
      </c>
      <c r="S1095" t="n">
        <v>4</v>
      </c>
      <c r="T1095" t="n">
        <v>4</v>
      </c>
      <c r="U1095" t="inlineStr">
        <is>
          <t>1995-10-04</t>
        </is>
      </c>
      <c r="V1095" t="inlineStr">
        <is>
          <t>1995-10-04</t>
        </is>
      </c>
      <c r="W1095" t="inlineStr">
        <is>
          <t>1992-01-17</t>
        </is>
      </c>
      <c r="X1095" t="inlineStr">
        <is>
          <t>1992-01-17</t>
        </is>
      </c>
      <c r="Y1095" t="n">
        <v>46</v>
      </c>
      <c r="Z1095" t="n">
        <v>44</v>
      </c>
      <c r="AA1095" t="n">
        <v>98</v>
      </c>
      <c r="AB1095" t="n">
        <v>1</v>
      </c>
      <c r="AC1095" t="n">
        <v>1</v>
      </c>
      <c r="AD1095" t="n">
        <v>6</v>
      </c>
      <c r="AE1095" t="n">
        <v>15</v>
      </c>
      <c r="AF1095" t="n">
        <v>2</v>
      </c>
      <c r="AG1095" t="n">
        <v>4</v>
      </c>
      <c r="AH1095" t="n">
        <v>2</v>
      </c>
      <c r="AI1095" t="n">
        <v>5</v>
      </c>
      <c r="AJ1095" t="n">
        <v>3</v>
      </c>
      <c r="AK1095" t="n">
        <v>11</v>
      </c>
      <c r="AL1095" t="n">
        <v>0</v>
      </c>
      <c r="AM1095" t="n">
        <v>0</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HYPERLINK("https://creighton-primo.hosted.exlibrisgroup.com/primo-explore/search?tab=default_tab&amp;search_scope=EVERYTHING&amp;vid=01CRU&amp;lang=en_US&amp;offset=0&amp;query=any,contains,991000260629702656","Catalog Record")</f>
        <v/>
      </c>
      <c r="AT1095">
        <f>HYPERLINK("http://www.worldcat.org/oclc/9809506","WorldCat Record")</f>
        <v/>
      </c>
      <c r="AU1095" t="inlineStr">
        <is>
          <t>2800497:eng</t>
        </is>
      </c>
      <c r="AV1095" t="inlineStr">
        <is>
          <t>9809506</t>
        </is>
      </c>
      <c r="AW1095" t="inlineStr">
        <is>
          <t>991000260629702656</t>
        </is>
      </c>
      <c r="AX1095" t="inlineStr">
        <is>
          <t>991000260629702656</t>
        </is>
      </c>
      <c r="AY1095" t="inlineStr">
        <is>
          <t>2260303020002656</t>
        </is>
      </c>
      <c r="AZ1095" t="inlineStr">
        <is>
          <t>BOOK</t>
        </is>
      </c>
      <c r="BC1095" t="inlineStr">
        <is>
          <t>32285000904598</t>
        </is>
      </c>
      <c r="BD1095" t="inlineStr">
        <is>
          <t>893614055</t>
        </is>
      </c>
    </row>
    <row r="1096">
      <c r="A1096" t="inlineStr">
        <is>
          <t>No</t>
        </is>
      </c>
      <c r="B1096" t="inlineStr">
        <is>
          <t>BV700 .P37</t>
        </is>
      </c>
      <c r="C1096" t="inlineStr">
        <is>
          <t>0                      BV 0700000P  37</t>
        </is>
      </c>
      <c r="D1096" t="inlineStr">
        <is>
          <t>The parish project reader : selected articles from the Parish ministry newsletter, 1979-1982.</t>
        </is>
      </c>
      <c r="F1096" t="inlineStr">
        <is>
          <t>No</t>
        </is>
      </c>
      <c r="G1096" t="inlineStr">
        <is>
          <t>1</t>
        </is>
      </c>
      <c r="H1096" t="inlineStr">
        <is>
          <t>No</t>
        </is>
      </c>
      <c r="I1096" t="inlineStr">
        <is>
          <t>No</t>
        </is>
      </c>
      <c r="J1096" t="inlineStr">
        <is>
          <t>0</t>
        </is>
      </c>
      <c r="L1096" t="inlineStr">
        <is>
          <t>Washington, D.C. : Parish Project, National Conference of Catholic Bishops, c1982.</t>
        </is>
      </c>
      <c r="M1096" t="inlineStr">
        <is>
          <t>1982</t>
        </is>
      </c>
      <c r="O1096" t="inlineStr">
        <is>
          <t>eng</t>
        </is>
      </c>
      <c r="P1096" t="inlineStr">
        <is>
          <t>dcu</t>
        </is>
      </c>
      <c r="Q1096" t="inlineStr">
        <is>
          <t>Publication / Office of Publishing Services, United States Catholic Conference ; no. 853</t>
        </is>
      </c>
      <c r="R1096" t="inlineStr">
        <is>
          <t xml:space="preserve">BV </t>
        </is>
      </c>
      <c r="S1096" t="n">
        <v>3</v>
      </c>
      <c r="T1096" t="n">
        <v>3</v>
      </c>
      <c r="U1096" t="inlineStr">
        <is>
          <t>1995-10-04</t>
        </is>
      </c>
      <c r="V1096" t="inlineStr">
        <is>
          <t>1995-10-04</t>
        </is>
      </c>
      <c r="W1096" t="inlineStr">
        <is>
          <t>1992-01-17</t>
        </is>
      </c>
      <c r="X1096" t="inlineStr">
        <is>
          <t>1992-01-17</t>
        </is>
      </c>
      <c r="Y1096" t="n">
        <v>85</v>
      </c>
      <c r="Z1096" t="n">
        <v>76</v>
      </c>
      <c r="AA1096" t="n">
        <v>77</v>
      </c>
      <c r="AB1096" t="n">
        <v>1</v>
      </c>
      <c r="AC1096" t="n">
        <v>1</v>
      </c>
      <c r="AD1096" t="n">
        <v>11</v>
      </c>
      <c r="AE1096" t="n">
        <v>12</v>
      </c>
      <c r="AF1096" t="n">
        <v>4</v>
      </c>
      <c r="AG1096" t="n">
        <v>5</v>
      </c>
      <c r="AH1096" t="n">
        <v>3</v>
      </c>
      <c r="AI1096" t="n">
        <v>3</v>
      </c>
      <c r="AJ1096" t="n">
        <v>8</v>
      </c>
      <c r="AK1096" t="n">
        <v>9</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HYPERLINK("https://creighton-primo.hosted.exlibrisgroup.com/primo-explore/search?tab=default_tab&amp;search_scope=EVERYTHING&amp;vid=01CRU&amp;lang=en_US&amp;offset=0&amp;query=any,contains,991000128369702656","Catalog Record")</f>
        <v/>
      </c>
      <c r="AT1096">
        <f>HYPERLINK("http://www.worldcat.org/oclc/9098569","WorldCat Record")</f>
        <v/>
      </c>
      <c r="AU1096" t="inlineStr">
        <is>
          <t>10248581037:eng</t>
        </is>
      </c>
      <c r="AV1096" t="inlineStr">
        <is>
          <t>9098569</t>
        </is>
      </c>
      <c r="AW1096" t="inlineStr">
        <is>
          <t>991000128369702656</t>
        </is>
      </c>
      <c r="AX1096" t="inlineStr">
        <is>
          <t>991000128369702656</t>
        </is>
      </c>
      <c r="AY1096" t="inlineStr">
        <is>
          <t>2261911250002656</t>
        </is>
      </c>
      <c r="AZ1096" t="inlineStr">
        <is>
          <t>BOOK</t>
        </is>
      </c>
      <c r="BC1096" t="inlineStr">
        <is>
          <t>32285000904606</t>
        </is>
      </c>
      <c r="BD1096" t="inlineStr">
        <is>
          <t>893508534</t>
        </is>
      </c>
    </row>
    <row r="1097">
      <c r="A1097" t="inlineStr">
        <is>
          <t>No</t>
        </is>
      </c>
      <c r="B1097" t="inlineStr">
        <is>
          <t>BV700 .R213 1958</t>
        </is>
      </c>
      <c r="C1097" t="inlineStr">
        <is>
          <t>0                      BV 0700000R  213         1958</t>
        </is>
      </c>
      <c r="D1097" t="inlineStr">
        <is>
          <t>The parish, from theology to practice / edited by Hugo Rahner. Translated by Robert Kress.</t>
        </is>
      </c>
      <c r="F1097" t="inlineStr">
        <is>
          <t>No</t>
        </is>
      </c>
      <c r="G1097" t="inlineStr">
        <is>
          <t>1</t>
        </is>
      </c>
      <c r="H1097" t="inlineStr">
        <is>
          <t>No</t>
        </is>
      </c>
      <c r="I1097" t="inlineStr">
        <is>
          <t>No</t>
        </is>
      </c>
      <c r="J1097" t="inlineStr">
        <is>
          <t>0</t>
        </is>
      </c>
      <c r="K1097" t="inlineStr">
        <is>
          <t>Rahner, Hugo, 1900-1968 editor.</t>
        </is>
      </c>
      <c r="L1097" t="inlineStr">
        <is>
          <t>Westminster, Md. : Newman Press, 1958.</t>
        </is>
      </c>
      <c r="M1097" t="inlineStr">
        <is>
          <t>1958</t>
        </is>
      </c>
      <c r="O1097" t="inlineStr">
        <is>
          <t>eng</t>
        </is>
      </c>
      <c r="P1097" t="inlineStr">
        <is>
          <t xml:space="preserve">md </t>
        </is>
      </c>
      <c r="R1097" t="inlineStr">
        <is>
          <t xml:space="preserve">BV </t>
        </is>
      </c>
      <c r="S1097" t="n">
        <v>3</v>
      </c>
      <c r="T1097" t="n">
        <v>3</v>
      </c>
      <c r="U1097" t="inlineStr">
        <is>
          <t>1995-10-04</t>
        </is>
      </c>
      <c r="V1097" t="inlineStr">
        <is>
          <t>1995-10-04</t>
        </is>
      </c>
      <c r="W1097" t="inlineStr">
        <is>
          <t>1992-01-17</t>
        </is>
      </c>
      <c r="X1097" t="inlineStr">
        <is>
          <t>1992-01-17</t>
        </is>
      </c>
      <c r="Y1097" t="n">
        <v>163</v>
      </c>
      <c r="Z1097" t="n">
        <v>136</v>
      </c>
      <c r="AA1097" t="n">
        <v>136</v>
      </c>
      <c r="AB1097" t="n">
        <v>3</v>
      </c>
      <c r="AC1097" t="n">
        <v>3</v>
      </c>
      <c r="AD1097" t="n">
        <v>29</v>
      </c>
      <c r="AE1097" t="n">
        <v>29</v>
      </c>
      <c r="AF1097" t="n">
        <v>10</v>
      </c>
      <c r="AG1097" t="n">
        <v>10</v>
      </c>
      <c r="AH1097" t="n">
        <v>7</v>
      </c>
      <c r="AI1097" t="n">
        <v>7</v>
      </c>
      <c r="AJ1097" t="n">
        <v>24</v>
      </c>
      <c r="AK1097" t="n">
        <v>24</v>
      </c>
      <c r="AL1097" t="n">
        <v>0</v>
      </c>
      <c r="AM1097" t="n">
        <v>0</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HYPERLINK("https://creighton-primo.hosted.exlibrisgroup.com/primo-explore/search?tab=default_tab&amp;search_scope=EVERYTHING&amp;vid=01CRU&amp;lang=en_US&amp;offset=0&amp;query=any,contains,991000107839702656","Catalog Record")</f>
        <v/>
      </c>
      <c r="AT1097">
        <f>HYPERLINK("http://www.worldcat.org/oclc/8989440","WorldCat Record")</f>
        <v/>
      </c>
      <c r="AU1097" t="inlineStr">
        <is>
          <t>42862230:eng</t>
        </is>
      </c>
      <c r="AV1097" t="inlineStr">
        <is>
          <t>8989440</t>
        </is>
      </c>
      <c r="AW1097" t="inlineStr">
        <is>
          <t>991000107839702656</t>
        </is>
      </c>
      <c r="AX1097" t="inlineStr">
        <is>
          <t>991000107839702656</t>
        </is>
      </c>
      <c r="AY1097" t="inlineStr">
        <is>
          <t>2255485270002656</t>
        </is>
      </c>
      <c r="AZ1097" t="inlineStr">
        <is>
          <t>BOOK</t>
        </is>
      </c>
      <c r="BC1097" t="inlineStr">
        <is>
          <t>32285000904614</t>
        </is>
      </c>
      <c r="BD1097" t="inlineStr">
        <is>
          <t>893502234</t>
        </is>
      </c>
    </row>
    <row r="1098">
      <c r="A1098" t="inlineStr">
        <is>
          <t>No</t>
        </is>
      </c>
      <c r="B1098" t="inlineStr">
        <is>
          <t>BV720 .F73 1985</t>
        </is>
      </c>
      <c r="C1098" t="inlineStr">
        <is>
          <t>0                      BV 0720000F  73          1985</t>
        </is>
      </c>
      <c r="D1098" t="inlineStr">
        <is>
          <t>Hermeneutics of the councils and other studies / Piet F. Fransen ; collected by H.E. Mertens and F. De Graeve.</t>
        </is>
      </c>
      <c r="F1098" t="inlineStr">
        <is>
          <t>No</t>
        </is>
      </c>
      <c r="G1098" t="inlineStr">
        <is>
          <t>1</t>
        </is>
      </c>
      <c r="H1098" t="inlineStr">
        <is>
          <t>No</t>
        </is>
      </c>
      <c r="I1098" t="inlineStr">
        <is>
          <t>No</t>
        </is>
      </c>
      <c r="J1098" t="inlineStr">
        <is>
          <t>0</t>
        </is>
      </c>
      <c r="K1098" t="inlineStr">
        <is>
          <t>Fransen, Piet F. (Piet Frans)</t>
        </is>
      </c>
      <c r="L1098" t="inlineStr">
        <is>
          <t>Leuven, Belgium : Leuven University Press : Peeters, 1985.</t>
        </is>
      </c>
      <c r="M1098" t="inlineStr">
        <is>
          <t>1985</t>
        </is>
      </c>
      <c r="O1098" t="inlineStr">
        <is>
          <t>eng</t>
        </is>
      </c>
      <c r="P1098" t="inlineStr">
        <is>
          <t xml:space="preserve">be </t>
        </is>
      </c>
      <c r="Q1098" t="inlineStr">
        <is>
          <t>Bibliotheca Ephemeridum theologicarum Lovaniensium ; 69</t>
        </is>
      </c>
      <c r="R1098" t="inlineStr">
        <is>
          <t xml:space="preserve">BV </t>
        </is>
      </c>
      <c r="S1098" t="n">
        <v>2</v>
      </c>
      <c r="T1098" t="n">
        <v>2</v>
      </c>
      <c r="U1098" t="inlineStr">
        <is>
          <t>1992-09-20</t>
        </is>
      </c>
      <c r="V1098" t="inlineStr">
        <is>
          <t>1992-09-20</t>
        </is>
      </c>
      <c r="W1098" t="inlineStr">
        <is>
          <t>1992-01-17</t>
        </is>
      </c>
      <c r="X1098" t="inlineStr">
        <is>
          <t>1992-01-17</t>
        </is>
      </c>
      <c r="Y1098" t="n">
        <v>131</v>
      </c>
      <c r="Z1098" t="n">
        <v>100</v>
      </c>
      <c r="AA1098" t="n">
        <v>103</v>
      </c>
      <c r="AB1098" t="n">
        <v>1</v>
      </c>
      <c r="AC1098" t="n">
        <v>1</v>
      </c>
      <c r="AD1098" t="n">
        <v>10</v>
      </c>
      <c r="AE1098" t="n">
        <v>10</v>
      </c>
      <c r="AF1098" t="n">
        <v>1</v>
      </c>
      <c r="AG1098" t="n">
        <v>1</v>
      </c>
      <c r="AH1098" t="n">
        <v>3</v>
      </c>
      <c r="AI1098" t="n">
        <v>3</v>
      </c>
      <c r="AJ1098" t="n">
        <v>8</v>
      </c>
      <c r="AK1098" t="n">
        <v>8</v>
      </c>
      <c r="AL1098" t="n">
        <v>0</v>
      </c>
      <c r="AM1098" t="n">
        <v>0</v>
      </c>
      <c r="AN1098" t="n">
        <v>0</v>
      </c>
      <c r="AO1098" t="n">
        <v>0</v>
      </c>
      <c r="AP1098" t="inlineStr">
        <is>
          <t>No</t>
        </is>
      </c>
      <c r="AQ1098" t="inlineStr">
        <is>
          <t>Yes</t>
        </is>
      </c>
      <c r="AR1098">
        <f>HYPERLINK("http://catalog.hathitrust.org/Record/000430709","HathiTrust Record")</f>
        <v/>
      </c>
      <c r="AS1098">
        <f>HYPERLINK("https://creighton-primo.hosted.exlibrisgroup.com/primo-explore/search?tab=default_tab&amp;search_scope=EVERYTHING&amp;vid=01CRU&amp;lang=en_US&amp;offset=0&amp;query=any,contains,991000882969702656","Catalog Record")</f>
        <v/>
      </c>
      <c r="AT1098">
        <f>HYPERLINK("http://www.worldcat.org/oclc/13859312","WorldCat Record")</f>
        <v/>
      </c>
      <c r="AU1098" t="inlineStr">
        <is>
          <t>6979850:eng</t>
        </is>
      </c>
      <c r="AV1098" t="inlineStr">
        <is>
          <t>13859312</t>
        </is>
      </c>
      <c r="AW1098" t="inlineStr">
        <is>
          <t>991000882969702656</t>
        </is>
      </c>
      <c r="AX1098" t="inlineStr">
        <is>
          <t>991000882969702656</t>
        </is>
      </c>
      <c r="AY1098" t="inlineStr">
        <is>
          <t>2265318260002656</t>
        </is>
      </c>
      <c r="AZ1098" t="inlineStr">
        <is>
          <t>BOOK</t>
        </is>
      </c>
      <c r="BB1098" t="inlineStr">
        <is>
          <t>9789061861706</t>
        </is>
      </c>
      <c r="BC1098" t="inlineStr">
        <is>
          <t>32285000904648</t>
        </is>
      </c>
      <c r="BD1098" t="inlineStr">
        <is>
          <t>893897306</t>
        </is>
      </c>
    </row>
    <row r="1099">
      <c r="A1099" t="inlineStr">
        <is>
          <t>No</t>
        </is>
      </c>
      <c r="B1099" t="inlineStr">
        <is>
          <t>BV720 .T54</t>
        </is>
      </c>
      <c r="C1099" t="inlineStr">
        <is>
          <t>0                      BV 0720000T  54</t>
        </is>
      </c>
      <c r="D1099" t="inlineStr">
        <is>
          <t>Foundations of the conciliar theory : the contribution of the medieval canonists from Gratian to the Great Schism / by Brian Tierney.</t>
        </is>
      </c>
      <c r="F1099" t="inlineStr">
        <is>
          <t>No</t>
        </is>
      </c>
      <c r="G1099" t="inlineStr">
        <is>
          <t>1</t>
        </is>
      </c>
      <c r="H1099" t="inlineStr">
        <is>
          <t>No</t>
        </is>
      </c>
      <c r="I1099" t="inlineStr">
        <is>
          <t>No</t>
        </is>
      </c>
      <c r="J1099" t="inlineStr">
        <is>
          <t>0</t>
        </is>
      </c>
      <c r="K1099" t="inlineStr">
        <is>
          <t>Tierney, Brian.</t>
        </is>
      </c>
      <c r="L1099" t="inlineStr">
        <is>
          <t>Cambridge [Eng.] University Press, 1955.</t>
        </is>
      </c>
      <c r="M1099" t="inlineStr">
        <is>
          <t>1955</t>
        </is>
      </c>
      <c r="O1099" t="inlineStr">
        <is>
          <t>eng</t>
        </is>
      </c>
      <c r="P1099" t="inlineStr">
        <is>
          <t>enk</t>
        </is>
      </c>
      <c r="Q1099" t="inlineStr">
        <is>
          <t>Cambridge studies in medieval life and thought ; new ser., v. 4</t>
        </is>
      </c>
      <c r="R1099" t="inlineStr">
        <is>
          <t xml:space="preserve">BV </t>
        </is>
      </c>
      <c r="S1099" t="n">
        <v>9</v>
      </c>
      <c r="T1099" t="n">
        <v>9</v>
      </c>
      <c r="U1099" t="inlineStr">
        <is>
          <t>2010-04-18</t>
        </is>
      </c>
      <c r="V1099" t="inlineStr">
        <is>
          <t>2010-04-18</t>
        </is>
      </c>
      <c r="W1099" t="inlineStr">
        <is>
          <t>1992-01-17</t>
        </is>
      </c>
      <c r="X1099" t="inlineStr">
        <is>
          <t>1992-01-17</t>
        </is>
      </c>
      <c r="Y1099" t="n">
        <v>542</v>
      </c>
      <c r="Z1099" t="n">
        <v>423</v>
      </c>
      <c r="AA1099" t="n">
        <v>761</v>
      </c>
      <c r="AB1099" t="n">
        <v>4</v>
      </c>
      <c r="AC1099" t="n">
        <v>7</v>
      </c>
      <c r="AD1099" t="n">
        <v>30</v>
      </c>
      <c r="AE1099" t="n">
        <v>46</v>
      </c>
      <c r="AF1099" t="n">
        <v>10</v>
      </c>
      <c r="AG1099" t="n">
        <v>20</v>
      </c>
      <c r="AH1099" t="n">
        <v>6</v>
      </c>
      <c r="AI1099" t="n">
        <v>10</v>
      </c>
      <c r="AJ1099" t="n">
        <v>19</v>
      </c>
      <c r="AK1099" t="n">
        <v>23</v>
      </c>
      <c r="AL1099" t="n">
        <v>2</v>
      </c>
      <c r="AM1099" t="n">
        <v>5</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HYPERLINK("https://creighton-primo.hosted.exlibrisgroup.com/primo-explore/search?tab=default_tab&amp;search_scope=EVERYTHING&amp;vid=01CRU&amp;lang=en_US&amp;offset=0&amp;query=any,contains,991002901269702656","Catalog Record")</f>
        <v/>
      </c>
      <c r="AT1099">
        <f>HYPERLINK("http://www.worldcat.org/oclc/517399","WorldCat Record")</f>
        <v/>
      </c>
      <c r="AU1099" t="inlineStr">
        <is>
          <t>634390:eng</t>
        </is>
      </c>
      <c r="AV1099" t="inlineStr">
        <is>
          <t>517399</t>
        </is>
      </c>
      <c r="AW1099" t="inlineStr">
        <is>
          <t>991002901269702656</t>
        </is>
      </c>
      <c r="AX1099" t="inlineStr">
        <is>
          <t>991002901269702656</t>
        </is>
      </c>
      <c r="AY1099" t="inlineStr">
        <is>
          <t>2255131220002656</t>
        </is>
      </c>
      <c r="AZ1099" t="inlineStr">
        <is>
          <t>BOOK</t>
        </is>
      </c>
      <c r="BC1099" t="inlineStr">
        <is>
          <t>32285000904663</t>
        </is>
      </c>
      <c r="BD1099" t="inlineStr">
        <is>
          <t>893233579</t>
        </is>
      </c>
    </row>
    <row r="1100">
      <c r="A1100" t="inlineStr">
        <is>
          <t>No</t>
        </is>
      </c>
      <c r="B1100" t="inlineStr">
        <is>
          <t>BV741 .F79 1997</t>
        </is>
      </c>
      <c r="C1100" t="inlineStr">
        <is>
          <t>0                      BV 0741000F  79          1997</t>
        </is>
      </c>
      <c r="D1100" t="inlineStr">
        <is>
          <t>Freedom and religion in the nineteenth century / edited by Richard Helmstadter.</t>
        </is>
      </c>
      <c r="F1100" t="inlineStr">
        <is>
          <t>No</t>
        </is>
      </c>
      <c r="G1100" t="inlineStr">
        <is>
          <t>1</t>
        </is>
      </c>
      <c r="H1100" t="inlineStr">
        <is>
          <t>No</t>
        </is>
      </c>
      <c r="I1100" t="inlineStr">
        <is>
          <t>No</t>
        </is>
      </c>
      <c r="J1100" t="inlineStr">
        <is>
          <t>0</t>
        </is>
      </c>
      <c r="L1100" t="inlineStr">
        <is>
          <t>Stanford, Calif. : Stanford University Press, 1997.</t>
        </is>
      </c>
      <c r="M1100" t="inlineStr">
        <is>
          <t>1997</t>
        </is>
      </c>
      <c r="O1100" t="inlineStr">
        <is>
          <t>eng</t>
        </is>
      </c>
      <c r="P1100" t="inlineStr">
        <is>
          <t>cau</t>
        </is>
      </c>
      <c r="Q1100" t="inlineStr">
        <is>
          <t>The making of modern freedom</t>
        </is>
      </c>
      <c r="R1100" t="inlineStr">
        <is>
          <t xml:space="preserve">BV </t>
        </is>
      </c>
      <c r="S1100" t="n">
        <v>2</v>
      </c>
      <c r="T1100" t="n">
        <v>2</v>
      </c>
      <c r="U1100" t="inlineStr">
        <is>
          <t>2007-11-09</t>
        </is>
      </c>
      <c r="V1100" t="inlineStr">
        <is>
          <t>2007-11-09</t>
        </is>
      </c>
      <c r="W1100" t="inlineStr">
        <is>
          <t>1999-03-16</t>
        </is>
      </c>
      <c r="X1100" t="inlineStr">
        <is>
          <t>1999-03-16</t>
        </is>
      </c>
      <c r="Y1100" t="n">
        <v>360</v>
      </c>
      <c r="Z1100" t="n">
        <v>276</v>
      </c>
      <c r="AA1100" t="n">
        <v>277</v>
      </c>
      <c r="AB1100" t="n">
        <v>3</v>
      </c>
      <c r="AC1100" t="n">
        <v>3</v>
      </c>
      <c r="AD1100" t="n">
        <v>16</v>
      </c>
      <c r="AE1100" t="n">
        <v>16</v>
      </c>
      <c r="AF1100" t="n">
        <v>2</v>
      </c>
      <c r="AG1100" t="n">
        <v>2</v>
      </c>
      <c r="AH1100" t="n">
        <v>6</v>
      </c>
      <c r="AI1100" t="n">
        <v>6</v>
      </c>
      <c r="AJ1100" t="n">
        <v>10</v>
      </c>
      <c r="AK1100" t="n">
        <v>10</v>
      </c>
      <c r="AL1100" t="n">
        <v>2</v>
      </c>
      <c r="AM1100" t="n">
        <v>2</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HYPERLINK("https://creighton-primo.hosted.exlibrisgroup.com/primo-explore/search?tab=default_tab&amp;search_scope=EVERYTHING&amp;vid=01CRU&amp;lang=en_US&amp;offset=0&amp;query=any,contains,991002757489702656","Catalog Record")</f>
        <v/>
      </c>
      <c r="AT1100">
        <f>HYPERLINK("http://www.worldcat.org/oclc/36165199","WorldCat Record")</f>
        <v/>
      </c>
      <c r="AU1100" t="inlineStr">
        <is>
          <t>613391:eng</t>
        </is>
      </c>
      <c r="AV1100" t="inlineStr">
        <is>
          <t>36165199</t>
        </is>
      </c>
      <c r="AW1100" t="inlineStr">
        <is>
          <t>991002757489702656</t>
        </is>
      </c>
      <c r="AX1100" t="inlineStr">
        <is>
          <t>991002757489702656</t>
        </is>
      </c>
      <c r="AY1100" t="inlineStr">
        <is>
          <t>2265160750002656</t>
        </is>
      </c>
      <c r="AZ1100" t="inlineStr">
        <is>
          <t>BOOK</t>
        </is>
      </c>
      <c r="BB1100" t="inlineStr">
        <is>
          <t>9780804730877</t>
        </is>
      </c>
      <c r="BC1100" t="inlineStr">
        <is>
          <t>32285003533071</t>
        </is>
      </c>
      <c r="BD1100" t="inlineStr">
        <is>
          <t>893698223</t>
        </is>
      </c>
    </row>
    <row r="1101">
      <c r="A1101" t="inlineStr">
        <is>
          <t>No</t>
        </is>
      </c>
      <c r="B1101" t="inlineStr">
        <is>
          <t>BV741 .H45 1968</t>
        </is>
      </c>
      <c r="C1101" t="inlineStr">
        <is>
          <t>0                      BV 0741000H  45          1968</t>
        </is>
      </c>
      <c r="D1101" t="inlineStr">
        <is>
          <t>L'Herméneutique de la liberté religieuse / Actes du colloque organisé par le Centre international d'études humanistes et par l'Institut d'études philosophiques de Rome, Rome, 7-12 Janvier 1968, aux soins de Enrico Castelli, [par] E. Castelli, H. Gouhier, S. Cotta, R. Panikkar ... [etc.]</t>
        </is>
      </c>
      <c r="F1101" t="inlineStr">
        <is>
          <t>No</t>
        </is>
      </c>
      <c r="G1101" t="inlineStr">
        <is>
          <t>1</t>
        </is>
      </c>
      <c r="H1101" t="inlineStr">
        <is>
          <t>No</t>
        </is>
      </c>
      <c r="I1101" t="inlineStr">
        <is>
          <t>No</t>
        </is>
      </c>
      <c r="J1101" t="inlineStr">
        <is>
          <t>0</t>
        </is>
      </c>
      <c r="L1101" t="inlineStr">
        <is>
          <t>Paris : Aubier, Montaigne, 1968.</t>
        </is>
      </c>
      <c r="M1101" t="inlineStr">
        <is>
          <t>1968</t>
        </is>
      </c>
      <c r="O1101" t="inlineStr">
        <is>
          <t>fre</t>
        </is>
      </c>
      <c r="P1101" t="inlineStr">
        <is>
          <t xml:space="preserve">fr </t>
        </is>
      </c>
      <c r="R1101" t="inlineStr">
        <is>
          <t xml:space="preserve">BV </t>
        </is>
      </c>
      <c r="S1101" t="n">
        <v>0</v>
      </c>
      <c r="T1101" t="n">
        <v>0</v>
      </c>
      <c r="U1101" t="inlineStr">
        <is>
          <t>2005-05-23</t>
        </is>
      </c>
      <c r="V1101" t="inlineStr">
        <is>
          <t>2005-05-23</t>
        </is>
      </c>
      <c r="W1101" t="inlineStr">
        <is>
          <t>1992-01-17</t>
        </is>
      </c>
      <c r="X1101" t="inlineStr">
        <is>
          <t>1992-01-17</t>
        </is>
      </c>
      <c r="Y1101" t="n">
        <v>78</v>
      </c>
      <c r="Z1101" t="n">
        <v>60</v>
      </c>
      <c r="AA1101" t="n">
        <v>60</v>
      </c>
      <c r="AB1101" t="n">
        <v>1</v>
      </c>
      <c r="AC1101" t="n">
        <v>1</v>
      </c>
      <c r="AD1101" t="n">
        <v>5</v>
      </c>
      <c r="AE1101" t="n">
        <v>5</v>
      </c>
      <c r="AF1101" t="n">
        <v>1</v>
      </c>
      <c r="AG1101" t="n">
        <v>1</v>
      </c>
      <c r="AH1101" t="n">
        <v>1</v>
      </c>
      <c r="AI1101" t="n">
        <v>1</v>
      </c>
      <c r="AJ1101" t="n">
        <v>5</v>
      </c>
      <c r="AK1101" t="n">
        <v>5</v>
      </c>
      <c r="AL1101" t="n">
        <v>0</v>
      </c>
      <c r="AM1101" t="n">
        <v>0</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HYPERLINK("https://creighton-primo.hosted.exlibrisgroup.com/primo-explore/search?tab=default_tab&amp;search_scope=EVERYTHING&amp;vid=01CRU&amp;lang=en_US&amp;offset=0&amp;query=any,contains,991004609579702656","Catalog Record")</f>
        <v/>
      </c>
      <c r="AT1101">
        <f>HYPERLINK("http://www.worldcat.org/oclc/4209715","WorldCat Record")</f>
        <v/>
      </c>
      <c r="AU1101" t="inlineStr">
        <is>
          <t>8960788526:fre</t>
        </is>
      </c>
      <c r="AV1101" t="inlineStr">
        <is>
          <t>4209715</t>
        </is>
      </c>
      <c r="AW1101" t="inlineStr">
        <is>
          <t>991004609579702656</t>
        </is>
      </c>
      <c r="AX1101" t="inlineStr">
        <is>
          <t>991004609579702656</t>
        </is>
      </c>
      <c r="AY1101" t="inlineStr">
        <is>
          <t>2264827250002656</t>
        </is>
      </c>
      <c r="AZ1101" t="inlineStr">
        <is>
          <t>BOOK</t>
        </is>
      </c>
      <c r="BC1101" t="inlineStr">
        <is>
          <t>32285000904747</t>
        </is>
      </c>
      <c r="BD1101" t="inlineStr">
        <is>
          <t>893712813</t>
        </is>
      </c>
    </row>
    <row r="1102">
      <c r="A1102" t="inlineStr">
        <is>
          <t>No</t>
        </is>
      </c>
      <c r="B1102" t="inlineStr">
        <is>
          <t>BV741 .K8</t>
        </is>
      </c>
      <c r="C1102" t="inlineStr">
        <is>
          <t>0                      BV 0741000K  8</t>
        </is>
      </c>
      <c r="D1102" t="inlineStr">
        <is>
          <t>Freedom today / by Hans Kung ; translated by Cecily Hastings.</t>
        </is>
      </c>
      <c r="F1102" t="inlineStr">
        <is>
          <t>No</t>
        </is>
      </c>
      <c r="G1102" t="inlineStr">
        <is>
          <t>1</t>
        </is>
      </c>
      <c r="H1102" t="inlineStr">
        <is>
          <t>No</t>
        </is>
      </c>
      <c r="I1102" t="inlineStr">
        <is>
          <t>No</t>
        </is>
      </c>
      <c r="J1102" t="inlineStr">
        <is>
          <t>0</t>
        </is>
      </c>
      <c r="K1102" t="inlineStr">
        <is>
          <t>Küng, Hans, 1928-</t>
        </is>
      </c>
      <c r="L1102" t="inlineStr">
        <is>
          <t>New York : Sheed and Ward, 1966.</t>
        </is>
      </c>
      <c r="M1102" t="inlineStr">
        <is>
          <t>1966</t>
        </is>
      </c>
      <c r="O1102" t="inlineStr">
        <is>
          <t>eng</t>
        </is>
      </c>
      <c r="P1102" t="inlineStr">
        <is>
          <t>nyu</t>
        </is>
      </c>
      <c r="Q1102" t="inlineStr">
        <is>
          <t>Theological meditations</t>
        </is>
      </c>
      <c r="R1102" t="inlineStr">
        <is>
          <t xml:space="preserve">BV </t>
        </is>
      </c>
      <c r="S1102" t="n">
        <v>2</v>
      </c>
      <c r="T1102" t="n">
        <v>2</v>
      </c>
      <c r="U1102" t="inlineStr">
        <is>
          <t>1998-11-15</t>
        </is>
      </c>
      <c r="V1102" t="inlineStr">
        <is>
          <t>1998-11-15</t>
        </is>
      </c>
      <c r="W1102" t="inlineStr">
        <is>
          <t>1992-01-17</t>
        </is>
      </c>
      <c r="X1102" t="inlineStr">
        <is>
          <t>1992-01-17</t>
        </is>
      </c>
      <c r="Y1102" t="n">
        <v>670</v>
      </c>
      <c r="Z1102" t="n">
        <v>608</v>
      </c>
      <c r="AA1102" t="n">
        <v>615</v>
      </c>
      <c r="AB1102" t="n">
        <v>6</v>
      </c>
      <c r="AC1102" t="n">
        <v>6</v>
      </c>
      <c r="AD1102" t="n">
        <v>41</v>
      </c>
      <c r="AE1102" t="n">
        <v>41</v>
      </c>
      <c r="AF1102" t="n">
        <v>16</v>
      </c>
      <c r="AG1102" t="n">
        <v>16</v>
      </c>
      <c r="AH1102" t="n">
        <v>9</v>
      </c>
      <c r="AI1102" t="n">
        <v>9</v>
      </c>
      <c r="AJ1102" t="n">
        <v>26</v>
      </c>
      <c r="AK1102" t="n">
        <v>26</v>
      </c>
      <c r="AL1102" t="n">
        <v>3</v>
      </c>
      <c r="AM1102" t="n">
        <v>3</v>
      </c>
      <c r="AN1102" t="n">
        <v>0</v>
      </c>
      <c r="AO1102" t="n">
        <v>0</v>
      </c>
      <c r="AP1102" t="inlineStr">
        <is>
          <t>No</t>
        </is>
      </c>
      <c r="AQ1102" t="inlineStr">
        <is>
          <t>Yes</t>
        </is>
      </c>
      <c r="AR1102">
        <f>HYPERLINK("http://catalog.hathitrust.org/Record/001413459","HathiTrust Record")</f>
        <v/>
      </c>
      <c r="AS1102">
        <f>HYPERLINK("https://creighton-primo.hosted.exlibrisgroup.com/primo-explore/search?tab=default_tab&amp;search_scope=EVERYTHING&amp;vid=01CRU&amp;lang=en_US&amp;offset=0&amp;query=any,contains,991002692169702656","Catalog Record")</f>
        <v/>
      </c>
      <c r="AT1102">
        <f>HYPERLINK("http://www.worldcat.org/oclc/401997","WorldCat Record")</f>
        <v/>
      </c>
      <c r="AU1102" t="inlineStr">
        <is>
          <t>1418962:eng</t>
        </is>
      </c>
      <c r="AV1102" t="inlineStr">
        <is>
          <t>401997</t>
        </is>
      </c>
      <c r="AW1102" t="inlineStr">
        <is>
          <t>991002692169702656</t>
        </is>
      </c>
      <c r="AX1102" t="inlineStr">
        <is>
          <t>991002692169702656</t>
        </is>
      </c>
      <c r="AY1102" t="inlineStr">
        <is>
          <t>2268304720002656</t>
        </is>
      </c>
      <c r="AZ1102" t="inlineStr">
        <is>
          <t>BOOK</t>
        </is>
      </c>
      <c r="BC1102" t="inlineStr">
        <is>
          <t>32285000904754</t>
        </is>
      </c>
      <c r="BD1102" t="inlineStr">
        <is>
          <t>893352468</t>
        </is>
      </c>
    </row>
    <row r="1103">
      <c r="A1103" t="inlineStr">
        <is>
          <t>No</t>
        </is>
      </c>
      <c r="B1103" t="inlineStr">
        <is>
          <t>BV741 .L54 2003</t>
        </is>
      </c>
      <c r="C1103" t="inlineStr">
        <is>
          <t>0                      BV 0741000L  54          2003</t>
        </is>
      </c>
      <c r="D1103" t="inlineStr">
        <is>
          <t>Persecution : how liberals are waging war against Christianity / David Limbaugh.</t>
        </is>
      </c>
      <c r="F1103" t="inlineStr">
        <is>
          <t>No</t>
        </is>
      </c>
      <c r="G1103" t="inlineStr">
        <is>
          <t>1</t>
        </is>
      </c>
      <c r="H1103" t="inlineStr">
        <is>
          <t>No</t>
        </is>
      </c>
      <c r="I1103" t="inlineStr">
        <is>
          <t>No</t>
        </is>
      </c>
      <c r="J1103" t="inlineStr">
        <is>
          <t>0</t>
        </is>
      </c>
      <c r="K1103" t="inlineStr">
        <is>
          <t>Limbaugh, David.</t>
        </is>
      </c>
      <c r="L1103" t="inlineStr">
        <is>
          <t>Washington, DC : Regnery Pub. ; Lanham, MD : Distributed to the trade by National Book Network, c2003.</t>
        </is>
      </c>
      <c r="M1103" t="inlineStr">
        <is>
          <t>2003</t>
        </is>
      </c>
      <c r="O1103" t="inlineStr">
        <is>
          <t>eng</t>
        </is>
      </c>
      <c r="P1103" t="inlineStr">
        <is>
          <t>dcu</t>
        </is>
      </c>
      <c r="R1103" t="inlineStr">
        <is>
          <t xml:space="preserve">BV </t>
        </is>
      </c>
      <c r="S1103" t="n">
        <v>3</v>
      </c>
      <c r="T1103" t="n">
        <v>3</v>
      </c>
      <c r="U1103" t="inlineStr">
        <is>
          <t>2003-11-10</t>
        </is>
      </c>
      <c r="V1103" t="inlineStr">
        <is>
          <t>2003-11-10</t>
        </is>
      </c>
      <c r="W1103" t="inlineStr">
        <is>
          <t>2003-11-10</t>
        </is>
      </c>
      <c r="X1103" t="inlineStr">
        <is>
          <t>2003-11-10</t>
        </is>
      </c>
      <c r="Y1103" t="n">
        <v>958</v>
      </c>
      <c r="Z1103" t="n">
        <v>940</v>
      </c>
      <c r="AA1103" t="n">
        <v>1027</v>
      </c>
      <c r="AB1103" t="n">
        <v>12</v>
      </c>
      <c r="AC1103" t="n">
        <v>13</v>
      </c>
      <c r="AD1103" t="n">
        <v>15</v>
      </c>
      <c r="AE1103" t="n">
        <v>15</v>
      </c>
      <c r="AF1103" t="n">
        <v>5</v>
      </c>
      <c r="AG1103" t="n">
        <v>5</v>
      </c>
      <c r="AH1103" t="n">
        <v>4</v>
      </c>
      <c r="AI1103" t="n">
        <v>4</v>
      </c>
      <c r="AJ1103" t="n">
        <v>7</v>
      </c>
      <c r="AK1103" t="n">
        <v>7</v>
      </c>
      <c r="AL1103" t="n">
        <v>2</v>
      </c>
      <c r="AM1103" t="n">
        <v>2</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HYPERLINK("https://creighton-primo.hosted.exlibrisgroup.com/primo-explore/search?tab=default_tab&amp;search_scope=EVERYTHING&amp;vid=01CRU&amp;lang=en_US&amp;offset=0&amp;query=any,contains,991004176419702656","Catalog Record")</f>
        <v/>
      </c>
      <c r="AT1103">
        <f>HYPERLINK("http://www.worldcat.org/oclc/52821218","WorldCat Record")</f>
        <v/>
      </c>
      <c r="AU1103" t="inlineStr">
        <is>
          <t>738340:eng</t>
        </is>
      </c>
      <c r="AV1103" t="inlineStr">
        <is>
          <t>52821218</t>
        </is>
      </c>
      <c r="AW1103" t="inlineStr">
        <is>
          <t>991004176419702656</t>
        </is>
      </c>
      <c r="AX1103" t="inlineStr">
        <is>
          <t>991004176419702656</t>
        </is>
      </c>
      <c r="AY1103" t="inlineStr">
        <is>
          <t>2271821220002656</t>
        </is>
      </c>
      <c r="AZ1103" t="inlineStr">
        <is>
          <t>BOOK</t>
        </is>
      </c>
      <c r="BB1103" t="inlineStr">
        <is>
          <t>9780895261113</t>
        </is>
      </c>
      <c r="BC1103" t="inlineStr">
        <is>
          <t>32285004796446</t>
        </is>
      </c>
      <c r="BD1103" t="inlineStr">
        <is>
          <t>893318887</t>
        </is>
      </c>
    </row>
    <row r="1104">
      <c r="A1104" t="inlineStr">
        <is>
          <t>No</t>
        </is>
      </c>
      <c r="B1104" t="inlineStr">
        <is>
          <t>BV741 .M86 1965</t>
        </is>
      </c>
      <c r="C1104" t="inlineStr">
        <is>
          <t>0                      BV 0741000M  86          1965</t>
        </is>
      </c>
      <c r="D1104" t="inlineStr">
        <is>
          <t>The problem of religious freedom / by John Courtney Murray.</t>
        </is>
      </c>
      <c r="F1104" t="inlineStr">
        <is>
          <t>No</t>
        </is>
      </c>
      <c r="G1104" t="inlineStr">
        <is>
          <t>1</t>
        </is>
      </c>
      <c r="H1104" t="inlineStr">
        <is>
          <t>No</t>
        </is>
      </c>
      <c r="I1104" t="inlineStr">
        <is>
          <t>No</t>
        </is>
      </c>
      <c r="J1104" t="inlineStr">
        <is>
          <t>0</t>
        </is>
      </c>
      <c r="K1104" t="inlineStr">
        <is>
          <t>Murray, John Courtney.</t>
        </is>
      </c>
      <c r="L1104" t="inlineStr">
        <is>
          <t>Westminster, Md. : Newman Press, 1965.</t>
        </is>
      </c>
      <c r="M1104" t="inlineStr">
        <is>
          <t>1965</t>
        </is>
      </c>
      <c r="O1104" t="inlineStr">
        <is>
          <t>eng</t>
        </is>
      </c>
      <c r="P1104" t="inlineStr">
        <is>
          <t>mdu</t>
        </is>
      </c>
      <c r="Q1104" t="inlineStr">
        <is>
          <t>Woodstock papers : occasional essays for theology ; no. 7</t>
        </is>
      </c>
      <c r="R1104" t="inlineStr">
        <is>
          <t xml:space="preserve">BV </t>
        </is>
      </c>
      <c r="S1104" t="n">
        <v>8</v>
      </c>
      <c r="T1104" t="n">
        <v>8</v>
      </c>
      <c r="U1104" t="inlineStr">
        <is>
          <t>2001-12-06</t>
        </is>
      </c>
      <c r="V1104" t="inlineStr">
        <is>
          <t>2001-12-06</t>
        </is>
      </c>
      <c r="W1104" t="inlineStr">
        <is>
          <t>1992-01-17</t>
        </is>
      </c>
      <c r="X1104" t="inlineStr">
        <is>
          <t>1992-01-17</t>
        </is>
      </c>
      <c r="Y1104" t="n">
        <v>401</v>
      </c>
      <c r="Z1104" t="n">
        <v>355</v>
      </c>
      <c r="AA1104" t="n">
        <v>372</v>
      </c>
      <c r="AB1104" t="n">
        <v>5</v>
      </c>
      <c r="AC1104" t="n">
        <v>5</v>
      </c>
      <c r="AD1104" t="n">
        <v>35</v>
      </c>
      <c r="AE1104" t="n">
        <v>35</v>
      </c>
      <c r="AF1104" t="n">
        <v>11</v>
      </c>
      <c r="AG1104" t="n">
        <v>11</v>
      </c>
      <c r="AH1104" t="n">
        <v>8</v>
      </c>
      <c r="AI1104" t="n">
        <v>8</v>
      </c>
      <c r="AJ1104" t="n">
        <v>23</v>
      </c>
      <c r="AK1104" t="n">
        <v>23</v>
      </c>
      <c r="AL1104" t="n">
        <v>2</v>
      </c>
      <c r="AM1104" t="n">
        <v>2</v>
      </c>
      <c r="AN1104" t="n">
        <v>2</v>
      </c>
      <c r="AO1104" t="n">
        <v>2</v>
      </c>
      <c r="AP1104" t="inlineStr">
        <is>
          <t>No</t>
        </is>
      </c>
      <c r="AQ1104" t="inlineStr">
        <is>
          <t>Yes</t>
        </is>
      </c>
      <c r="AR1104">
        <f>HYPERLINK("http://catalog.hathitrust.org/Record/001413465","HathiTrust Record")</f>
        <v/>
      </c>
      <c r="AS1104">
        <f>HYPERLINK("https://creighton-primo.hosted.exlibrisgroup.com/primo-explore/search?tab=default_tab&amp;search_scope=EVERYTHING&amp;vid=01CRU&amp;lang=en_US&amp;offset=0&amp;query=any,contains,991002659889702656","Catalog Record")</f>
        <v/>
      </c>
      <c r="AT1104">
        <f>HYPERLINK("http://www.worldcat.org/oclc/390999","WorldCat Record")</f>
        <v/>
      </c>
      <c r="AU1104" t="inlineStr">
        <is>
          <t>1525856:eng</t>
        </is>
      </c>
      <c r="AV1104" t="inlineStr">
        <is>
          <t>390999</t>
        </is>
      </c>
      <c r="AW1104" t="inlineStr">
        <is>
          <t>991002659889702656</t>
        </is>
      </c>
      <c r="AX1104" t="inlineStr">
        <is>
          <t>991002659889702656</t>
        </is>
      </c>
      <c r="AY1104" t="inlineStr">
        <is>
          <t>2262058520002656</t>
        </is>
      </c>
      <c r="AZ1104" t="inlineStr">
        <is>
          <t>BOOK</t>
        </is>
      </c>
      <c r="BC1104" t="inlineStr">
        <is>
          <t>32285000904762</t>
        </is>
      </c>
      <c r="BD1104" t="inlineStr">
        <is>
          <t>893347763</t>
        </is>
      </c>
    </row>
    <row r="1105">
      <c r="A1105" t="inlineStr">
        <is>
          <t>No</t>
        </is>
      </c>
      <c r="B1105" t="inlineStr">
        <is>
          <t>BV741 .M87</t>
        </is>
      </c>
      <c r="C1105" t="inlineStr">
        <is>
          <t>0                      BV 0741000M  87</t>
        </is>
      </c>
      <c r="D1105" t="inlineStr">
        <is>
          <t>Freedom and man / edited by John Courtney Murray ; Contributors Hans Küng...[et.al.]</t>
        </is>
      </c>
      <c r="F1105" t="inlineStr">
        <is>
          <t>No</t>
        </is>
      </c>
      <c r="G1105" t="inlineStr">
        <is>
          <t>1</t>
        </is>
      </c>
      <c r="H1105" t="inlineStr">
        <is>
          <t>Yes</t>
        </is>
      </c>
      <c r="I1105" t="inlineStr">
        <is>
          <t>No</t>
        </is>
      </c>
      <c r="J1105" t="inlineStr">
        <is>
          <t>0</t>
        </is>
      </c>
      <c r="K1105" t="inlineStr">
        <is>
          <t>Murray, John Courtney, editor.</t>
        </is>
      </c>
      <c r="L1105" t="inlineStr">
        <is>
          <t>New York : P. J. Kenedy, 1965.</t>
        </is>
      </c>
      <c r="M1105" t="inlineStr">
        <is>
          <t>1965</t>
        </is>
      </c>
      <c r="O1105" t="inlineStr">
        <is>
          <t>eng</t>
        </is>
      </c>
      <c r="P1105" t="inlineStr">
        <is>
          <t>nyu</t>
        </is>
      </c>
      <c r="Q1105" t="inlineStr">
        <is>
          <t>A Wisdom and discovery book</t>
        </is>
      </c>
      <c r="R1105" t="inlineStr">
        <is>
          <t xml:space="preserve">BV </t>
        </is>
      </c>
      <c r="S1105" t="n">
        <v>4</v>
      </c>
      <c r="T1105" t="n">
        <v>4</v>
      </c>
      <c r="U1105" t="inlineStr">
        <is>
          <t>1993-09-08</t>
        </is>
      </c>
      <c r="V1105" t="inlineStr">
        <is>
          <t>1993-09-08</t>
        </is>
      </c>
      <c r="W1105" t="inlineStr">
        <is>
          <t>1992-01-17</t>
        </is>
      </c>
      <c r="X1105" t="inlineStr">
        <is>
          <t>1992-07-17</t>
        </is>
      </c>
      <c r="Y1105" t="n">
        <v>851</v>
      </c>
      <c r="Z1105" t="n">
        <v>780</v>
      </c>
      <c r="AA1105" t="n">
        <v>787</v>
      </c>
      <c r="AB1105" t="n">
        <v>8</v>
      </c>
      <c r="AC1105" t="n">
        <v>8</v>
      </c>
      <c r="AD1105" t="n">
        <v>48</v>
      </c>
      <c r="AE1105" t="n">
        <v>48</v>
      </c>
      <c r="AF1105" t="n">
        <v>18</v>
      </c>
      <c r="AG1105" t="n">
        <v>18</v>
      </c>
      <c r="AH1105" t="n">
        <v>10</v>
      </c>
      <c r="AI1105" t="n">
        <v>10</v>
      </c>
      <c r="AJ1105" t="n">
        <v>26</v>
      </c>
      <c r="AK1105" t="n">
        <v>26</v>
      </c>
      <c r="AL1105" t="n">
        <v>5</v>
      </c>
      <c r="AM1105" t="n">
        <v>5</v>
      </c>
      <c r="AN1105" t="n">
        <v>2</v>
      </c>
      <c r="AO1105" t="n">
        <v>2</v>
      </c>
      <c r="AP1105" t="inlineStr">
        <is>
          <t>No</t>
        </is>
      </c>
      <c r="AQ1105" t="inlineStr">
        <is>
          <t>Yes</t>
        </is>
      </c>
      <c r="AR1105">
        <f>HYPERLINK("http://catalog.hathitrust.org/Record/001413464","HathiTrust Record")</f>
        <v/>
      </c>
      <c r="AS1105">
        <f>HYPERLINK("https://creighton-primo.hosted.exlibrisgroup.com/primo-explore/search?tab=default_tab&amp;search_scope=EVERYTHING&amp;vid=01CRU&amp;lang=en_US&amp;offset=0&amp;query=any,contains,991001633769702656","Catalog Record")</f>
        <v/>
      </c>
      <c r="AT1105">
        <f>HYPERLINK("http://www.worldcat.org/oclc/386627","WorldCat Record")</f>
        <v/>
      </c>
      <c r="AU1105" t="inlineStr">
        <is>
          <t>1512063:eng</t>
        </is>
      </c>
      <c r="AV1105" t="inlineStr">
        <is>
          <t>386627</t>
        </is>
      </c>
      <c r="AW1105" t="inlineStr">
        <is>
          <t>991001633769702656</t>
        </is>
      </c>
      <c r="AX1105" t="inlineStr">
        <is>
          <t>991001633769702656</t>
        </is>
      </c>
      <c r="AY1105" t="inlineStr">
        <is>
          <t>2259568370002656</t>
        </is>
      </c>
      <c r="AZ1105" t="inlineStr">
        <is>
          <t>BOOK</t>
        </is>
      </c>
      <c r="BC1105" t="inlineStr">
        <is>
          <t>32285000904770</t>
        </is>
      </c>
      <c r="BD1105" t="inlineStr">
        <is>
          <t>893322099</t>
        </is>
      </c>
    </row>
    <row r="1106">
      <c r="A1106" t="inlineStr">
        <is>
          <t>No</t>
        </is>
      </c>
      <c r="B1106" t="inlineStr">
        <is>
          <t>BV741 .S94 1969</t>
        </is>
      </c>
      <c r="C1106" t="inlineStr">
        <is>
          <t>0                      BV 0741000S  94          1969</t>
        </is>
      </c>
      <c r="D1106" t="inlineStr">
        <is>
          <t>Freedom in the church / [by] Leonard Swidler.</t>
        </is>
      </c>
      <c r="F1106" t="inlineStr">
        <is>
          <t>No</t>
        </is>
      </c>
      <c r="G1106" t="inlineStr">
        <is>
          <t>1</t>
        </is>
      </c>
      <c r="H1106" t="inlineStr">
        <is>
          <t>No</t>
        </is>
      </c>
      <c r="I1106" t="inlineStr">
        <is>
          <t>No</t>
        </is>
      </c>
      <c r="J1106" t="inlineStr">
        <is>
          <t>0</t>
        </is>
      </c>
      <c r="K1106" t="inlineStr">
        <is>
          <t>Swidler, Leonard J.</t>
        </is>
      </c>
      <c r="L1106" t="inlineStr">
        <is>
          <t>Dayton, Ohio : Pflaum Press, 1969.</t>
        </is>
      </c>
      <c r="M1106" t="inlineStr">
        <is>
          <t>1969</t>
        </is>
      </c>
      <c r="O1106" t="inlineStr">
        <is>
          <t>eng</t>
        </is>
      </c>
      <c r="P1106" t="inlineStr">
        <is>
          <t>ohu</t>
        </is>
      </c>
      <c r="Q1106" t="inlineStr">
        <is>
          <t>Themes for today</t>
        </is>
      </c>
      <c r="R1106" t="inlineStr">
        <is>
          <t xml:space="preserve">BV </t>
        </is>
      </c>
      <c r="S1106" t="n">
        <v>5</v>
      </c>
      <c r="T1106" t="n">
        <v>5</v>
      </c>
      <c r="U1106" t="inlineStr">
        <is>
          <t>1999-05-25</t>
        </is>
      </c>
      <c r="V1106" t="inlineStr">
        <is>
          <t>1999-05-25</t>
        </is>
      </c>
      <c r="W1106" t="inlineStr">
        <is>
          <t>1992-01-17</t>
        </is>
      </c>
      <c r="X1106" t="inlineStr">
        <is>
          <t>1992-01-17</t>
        </is>
      </c>
      <c r="Y1106" t="n">
        <v>156</v>
      </c>
      <c r="Z1106" t="n">
        <v>141</v>
      </c>
      <c r="AA1106" t="n">
        <v>142</v>
      </c>
      <c r="AB1106" t="n">
        <v>1</v>
      </c>
      <c r="AC1106" t="n">
        <v>1</v>
      </c>
      <c r="AD1106" t="n">
        <v>23</v>
      </c>
      <c r="AE1106" t="n">
        <v>23</v>
      </c>
      <c r="AF1106" t="n">
        <v>9</v>
      </c>
      <c r="AG1106" t="n">
        <v>9</v>
      </c>
      <c r="AH1106" t="n">
        <v>6</v>
      </c>
      <c r="AI1106" t="n">
        <v>6</v>
      </c>
      <c r="AJ1106" t="n">
        <v>19</v>
      </c>
      <c r="AK1106" t="n">
        <v>19</v>
      </c>
      <c r="AL1106" t="n">
        <v>0</v>
      </c>
      <c r="AM1106" t="n">
        <v>0</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HYPERLINK("https://creighton-primo.hosted.exlibrisgroup.com/primo-explore/search?tab=default_tab&amp;search_scope=EVERYTHING&amp;vid=01CRU&amp;lang=en_US&amp;offset=0&amp;query=any,contains,991000121779702656","Catalog Record")</f>
        <v/>
      </c>
      <c r="AT1106">
        <f>HYPERLINK("http://www.worldcat.org/oclc/50443","WorldCat Record")</f>
        <v/>
      </c>
      <c r="AU1106" t="inlineStr">
        <is>
          <t>1167545:eng</t>
        </is>
      </c>
      <c r="AV1106" t="inlineStr">
        <is>
          <t>50443</t>
        </is>
      </c>
      <c r="AW1106" t="inlineStr">
        <is>
          <t>991000121779702656</t>
        </is>
      </c>
      <c r="AX1106" t="inlineStr">
        <is>
          <t>991000121779702656</t>
        </is>
      </c>
      <c r="AY1106" t="inlineStr">
        <is>
          <t>2256088810002656</t>
        </is>
      </c>
      <c r="AZ1106" t="inlineStr">
        <is>
          <t>BOOK</t>
        </is>
      </c>
      <c r="BC1106" t="inlineStr">
        <is>
          <t>32285000904796</t>
        </is>
      </c>
      <c r="BD1106" t="inlineStr">
        <is>
          <t>893320825</t>
        </is>
      </c>
    </row>
    <row r="1107">
      <c r="A1107" t="inlineStr">
        <is>
          <t>No</t>
        </is>
      </c>
      <c r="B1107" t="inlineStr">
        <is>
          <t>BV741 .W65 1967</t>
        </is>
      </c>
      <c r="C1107" t="inlineStr">
        <is>
          <t>0                      BV 0741000W  65          1967</t>
        </is>
      </c>
      <c r="D1107" t="inlineStr">
        <is>
          <t>Protestant faith and religious liberty / Philip Wogaman.</t>
        </is>
      </c>
      <c r="F1107" t="inlineStr">
        <is>
          <t>No</t>
        </is>
      </c>
      <c r="G1107" t="inlineStr">
        <is>
          <t>1</t>
        </is>
      </c>
      <c r="H1107" t="inlineStr">
        <is>
          <t>No</t>
        </is>
      </c>
      <c r="I1107" t="inlineStr">
        <is>
          <t>No</t>
        </is>
      </c>
      <c r="J1107" t="inlineStr">
        <is>
          <t>0</t>
        </is>
      </c>
      <c r="K1107" t="inlineStr">
        <is>
          <t>Wogaman, J. Philip.</t>
        </is>
      </c>
      <c r="L1107" t="inlineStr">
        <is>
          <t>Nashville : Abingdon Press, c1967.</t>
        </is>
      </c>
      <c r="M1107" t="inlineStr">
        <is>
          <t>1967</t>
        </is>
      </c>
      <c r="O1107" t="inlineStr">
        <is>
          <t>eng</t>
        </is>
      </c>
      <c r="P1107" t="inlineStr">
        <is>
          <t>tnu</t>
        </is>
      </c>
      <c r="R1107" t="inlineStr">
        <is>
          <t xml:space="preserve">BV </t>
        </is>
      </c>
      <c r="S1107" t="n">
        <v>1</v>
      </c>
      <c r="T1107" t="n">
        <v>1</v>
      </c>
      <c r="U1107" t="inlineStr">
        <is>
          <t>2008-08-28</t>
        </is>
      </c>
      <c r="V1107" t="inlineStr">
        <is>
          <t>2008-08-28</t>
        </is>
      </c>
      <c r="W1107" t="inlineStr">
        <is>
          <t>2008-08-28</t>
        </is>
      </c>
      <c r="X1107" t="inlineStr">
        <is>
          <t>2008-08-28</t>
        </is>
      </c>
      <c r="Y1107" t="n">
        <v>367</v>
      </c>
      <c r="Z1107" t="n">
        <v>340</v>
      </c>
      <c r="AA1107" t="n">
        <v>344</v>
      </c>
      <c r="AB1107" t="n">
        <v>2</v>
      </c>
      <c r="AC1107" t="n">
        <v>2</v>
      </c>
      <c r="AD1107" t="n">
        <v>13</v>
      </c>
      <c r="AE1107" t="n">
        <v>13</v>
      </c>
      <c r="AF1107" t="n">
        <v>5</v>
      </c>
      <c r="AG1107" t="n">
        <v>5</v>
      </c>
      <c r="AH1107" t="n">
        <v>3</v>
      </c>
      <c r="AI1107" t="n">
        <v>3</v>
      </c>
      <c r="AJ1107" t="n">
        <v>7</v>
      </c>
      <c r="AK1107" t="n">
        <v>7</v>
      </c>
      <c r="AL1107" t="n">
        <v>1</v>
      </c>
      <c r="AM1107" t="n">
        <v>1</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HYPERLINK("https://creighton-primo.hosted.exlibrisgroup.com/primo-explore/search?tab=default_tab&amp;search_scope=EVERYTHING&amp;vid=01CRU&amp;lang=en_US&amp;offset=0&amp;query=any,contains,991005261309702656","Catalog Record")</f>
        <v/>
      </c>
      <c r="AT1107">
        <f>HYPERLINK("http://www.worldcat.org/oclc/384791","WorldCat Record")</f>
        <v/>
      </c>
      <c r="AU1107" t="inlineStr">
        <is>
          <t>1505022:eng</t>
        </is>
      </c>
      <c r="AV1107" t="inlineStr">
        <is>
          <t>384791</t>
        </is>
      </c>
      <c r="AW1107" t="inlineStr">
        <is>
          <t>991005261309702656</t>
        </is>
      </c>
      <c r="AX1107" t="inlineStr">
        <is>
          <t>991005261309702656</t>
        </is>
      </c>
      <c r="AY1107" t="inlineStr">
        <is>
          <t>2258552800002656</t>
        </is>
      </c>
      <c r="AZ1107" t="inlineStr">
        <is>
          <t>BOOK</t>
        </is>
      </c>
      <c r="BC1107" t="inlineStr">
        <is>
          <t>32285005456602</t>
        </is>
      </c>
      <c r="BD1107" t="inlineStr">
        <is>
          <t>893896149</t>
        </is>
      </c>
    </row>
    <row r="1108">
      <c r="A1108" t="inlineStr">
        <is>
          <t>No</t>
        </is>
      </c>
      <c r="B1108" t="inlineStr">
        <is>
          <t>BV761.A47 A2 1968</t>
        </is>
      </c>
      <c r="C1108" t="inlineStr">
        <is>
          <t>0                      BV 0761000A  47                 A  2           1968</t>
        </is>
      </c>
      <c r="D1108" t="inlineStr">
        <is>
          <t>La Tradition apostolique, d'après les anciennes versions. Introduction, traduction et notes par Bernard Botte.</t>
        </is>
      </c>
      <c r="F1108" t="inlineStr">
        <is>
          <t>No</t>
        </is>
      </c>
      <c r="G1108" t="inlineStr">
        <is>
          <t>1</t>
        </is>
      </c>
      <c r="H1108" t="inlineStr">
        <is>
          <t>No</t>
        </is>
      </c>
      <c r="I1108" t="inlineStr">
        <is>
          <t>No</t>
        </is>
      </c>
      <c r="J1108" t="inlineStr">
        <is>
          <t>0</t>
        </is>
      </c>
      <c r="K1108" t="inlineStr">
        <is>
          <t>Hippolytus, Antipope, approximately 170-235 or 236.</t>
        </is>
      </c>
      <c r="L1108" t="inlineStr">
        <is>
          <t>Paris, Editions du Cerf, 1968.</t>
        </is>
      </c>
      <c r="M1108" t="inlineStr">
        <is>
          <t>1968</t>
        </is>
      </c>
      <c r="N1108" t="inlineStr">
        <is>
          <t>2d édition.</t>
        </is>
      </c>
      <c r="O1108" t="inlineStr">
        <is>
          <t>fre</t>
        </is>
      </c>
      <c r="P1108" t="inlineStr">
        <is>
          <t>___</t>
        </is>
      </c>
      <c r="Q1108" t="inlineStr">
        <is>
          <t>Sources chrétiennes ; no 11</t>
        </is>
      </c>
      <c r="R1108" t="inlineStr">
        <is>
          <t xml:space="preserve">BV </t>
        </is>
      </c>
      <c r="S1108" t="n">
        <v>4</v>
      </c>
      <c r="T1108" t="n">
        <v>4</v>
      </c>
      <c r="U1108" t="inlineStr">
        <is>
          <t>1998-06-22</t>
        </is>
      </c>
      <c r="V1108" t="inlineStr">
        <is>
          <t>1998-06-22</t>
        </is>
      </c>
      <c r="W1108" t="inlineStr">
        <is>
          <t>1992-01-17</t>
        </is>
      </c>
      <c r="X1108" t="inlineStr">
        <is>
          <t>1992-01-17</t>
        </is>
      </c>
      <c r="Y1108" t="n">
        <v>125</v>
      </c>
      <c r="Z1108" t="n">
        <v>67</v>
      </c>
      <c r="AA1108" t="n">
        <v>118</v>
      </c>
      <c r="AB1108" t="n">
        <v>1</v>
      </c>
      <c r="AC1108" t="n">
        <v>1</v>
      </c>
      <c r="AD1108" t="n">
        <v>5</v>
      </c>
      <c r="AE1108" t="n">
        <v>13</v>
      </c>
      <c r="AF1108" t="n">
        <v>1</v>
      </c>
      <c r="AG1108" t="n">
        <v>3</v>
      </c>
      <c r="AH1108" t="n">
        <v>1</v>
      </c>
      <c r="AI1108" t="n">
        <v>2</v>
      </c>
      <c r="AJ1108" t="n">
        <v>4</v>
      </c>
      <c r="AK1108" t="n">
        <v>11</v>
      </c>
      <c r="AL1108" t="n">
        <v>0</v>
      </c>
      <c r="AM1108" t="n">
        <v>0</v>
      </c>
      <c r="AN1108" t="n">
        <v>0</v>
      </c>
      <c r="AO1108" t="n">
        <v>0</v>
      </c>
      <c r="AP1108" t="inlineStr">
        <is>
          <t>No</t>
        </is>
      </c>
      <c r="AQ1108" t="inlineStr">
        <is>
          <t>Yes</t>
        </is>
      </c>
      <c r="AR1108">
        <f>HYPERLINK("http://catalog.hathitrust.org/Record/101873552","HathiTrust Record")</f>
        <v/>
      </c>
      <c r="AS1108">
        <f>HYPERLINK("https://creighton-primo.hosted.exlibrisgroup.com/primo-explore/search?tab=default_tab&amp;search_scope=EVERYTHING&amp;vid=01CRU&amp;lang=en_US&amp;offset=0&amp;query=any,contains,991003246659702656","Catalog Record")</f>
        <v/>
      </c>
      <c r="AT1108">
        <f>HYPERLINK("http://www.worldcat.org/oclc/10644192","WorldCat Record")</f>
        <v/>
      </c>
      <c r="AU1108" t="inlineStr">
        <is>
          <t>4159865816:fre</t>
        </is>
      </c>
      <c r="AV1108" t="inlineStr">
        <is>
          <t>10644192</t>
        </is>
      </c>
      <c r="AW1108" t="inlineStr">
        <is>
          <t>991003246659702656</t>
        </is>
      </c>
      <c r="AX1108" t="inlineStr">
        <is>
          <t>991003246659702656</t>
        </is>
      </c>
      <c r="AY1108" t="inlineStr">
        <is>
          <t>2264927440002656</t>
        </is>
      </c>
      <c r="AZ1108" t="inlineStr">
        <is>
          <t>BOOK</t>
        </is>
      </c>
      <c r="BC1108" t="inlineStr">
        <is>
          <t>32285000904838</t>
        </is>
      </c>
      <c r="BD1108" t="inlineStr">
        <is>
          <t>893428592</t>
        </is>
      </c>
    </row>
    <row r="1109">
      <c r="A1109" t="inlineStr">
        <is>
          <t>No</t>
        </is>
      </c>
      <c r="B1109" t="inlineStr">
        <is>
          <t>BV761.A47 A31 1976</t>
        </is>
      </c>
      <c r="C1109" t="inlineStr">
        <is>
          <t>0                      BV 0761000A  47                 A  31          1976</t>
        </is>
      </c>
      <c r="D1109" t="inlineStr">
        <is>
          <t>Hippolytus, a text for students / with introd., translation, commentary and notes by Geoffrey J. Cuming.</t>
        </is>
      </c>
      <c r="F1109" t="inlineStr">
        <is>
          <t>No</t>
        </is>
      </c>
      <c r="G1109" t="inlineStr">
        <is>
          <t>1</t>
        </is>
      </c>
      <c r="H1109" t="inlineStr">
        <is>
          <t>No</t>
        </is>
      </c>
      <c r="I1109" t="inlineStr">
        <is>
          <t>No</t>
        </is>
      </c>
      <c r="J1109" t="inlineStr">
        <is>
          <t>0</t>
        </is>
      </c>
      <c r="K1109" t="inlineStr">
        <is>
          <t>Hippolytus, Antipope, approximately 170-235 or 236.</t>
        </is>
      </c>
      <c r="L1109" t="inlineStr">
        <is>
          <t>Bramcote, Notts. : Grove Books, 1976.</t>
        </is>
      </c>
      <c r="M1109" t="inlineStr">
        <is>
          <t>1976</t>
        </is>
      </c>
      <c r="O1109" t="inlineStr">
        <is>
          <t>eng</t>
        </is>
      </c>
      <c r="P1109" t="inlineStr">
        <is>
          <t>enk</t>
        </is>
      </c>
      <c r="Q1109" t="inlineStr">
        <is>
          <t>Grove liturgical study ; no. 8</t>
        </is>
      </c>
      <c r="R1109" t="inlineStr">
        <is>
          <t xml:space="preserve">BV </t>
        </is>
      </c>
      <c r="S1109" t="n">
        <v>4</v>
      </c>
      <c r="T1109" t="n">
        <v>4</v>
      </c>
      <c r="U1109" t="inlineStr">
        <is>
          <t>2002-09-18</t>
        </is>
      </c>
      <c r="V1109" t="inlineStr">
        <is>
          <t>2002-09-18</t>
        </is>
      </c>
      <c r="W1109" t="inlineStr">
        <is>
          <t>2000-03-01</t>
        </is>
      </c>
      <c r="X1109" t="inlineStr">
        <is>
          <t>2000-03-01</t>
        </is>
      </c>
      <c r="Y1109" t="n">
        <v>114</v>
      </c>
      <c r="Z1109" t="n">
        <v>65</v>
      </c>
      <c r="AA1109" t="n">
        <v>82</v>
      </c>
      <c r="AB1109" t="n">
        <v>1</v>
      </c>
      <c r="AC1109" t="n">
        <v>1</v>
      </c>
      <c r="AD1109" t="n">
        <v>9</v>
      </c>
      <c r="AE1109" t="n">
        <v>10</v>
      </c>
      <c r="AF1109" t="n">
        <v>2</v>
      </c>
      <c r="AG1109" t="n">
        <v>3</v>
      </c>
      <c r="AH1109" t="n">
        <v>4</v>
      </c>
      <c r="AI1109" t="n">
        <v>4</v>
      </c>
      <c r="AJ1109" t="n">
        <v>5</v>
      </c>
      <c r="AK1109" t="n">
        <v>6</v>
      </c>
      <c r="AL1109" t="n">
        <v>0</v>
      </c>
      <c r="AM1109" t="n">
        <v>0</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HYPERLINK("https://creighton-primo.hosted.exlibrisgroup.com/primo-explore/search?tab=default_tab&amp;search_scope=EVERYTHING&amp;vid=01CRU&amp;lang=en_US&amp;offset=0&amp;query=any,contains,991004404389702656","Catalog Record")</f>
        <v/>
      </c>
      <c r="AT1109">
        <f>HYPERLINK("http://www.worldcat.org/oclc/3315515","WorldCat Record")</f>
        <v/>
      </c>
      <c r="AU1109" t="inlineStr">
        <is>
          <t>5218495327:eng</t>
        </is>
      </c>
      <c r="AV1109" t="inlineStr">
        <is>
          <t>3315515</t>
        </is>
      </c>
      <c r="AW1109" t="inlineStr">
        <is>
          <t>991004404389702656</t>
        </is>
      </c>
      <c r="AX1109" t="inlineStr">
        <is>
          <t>991004404389702656</t>
        </is>
      </c>
      <c r="AY1109" t="inlineStr">
        <is>
          <t>2262799630002656</t>
        </is>
      </c>
      <c r="AZ1109" t="inlineStr">
        <is>
          <t>BOOK</t>
        </is>
      </c>
      <c r="BB1109" t="inlineStr">
        <is>
          <t>9780905422022</t>
        </is>
      </c>
      <c r="BC1109" t="inlineStr">
        <is>
          <t>32285000904853</t>
        </is>
      </c>
      <c r="BD1109" t="inlineStr">
        <is>
          <t>893519607</t>
        </is>
      </c>
    </row>
    <row r="1110">
      <c r="A1110" t="inlineStr">
        <is>
          <t>No</t>
        </is>
      </c>
      <c r="B1110" t="inlineStr">
        <is>
          <t>BV770 .D4 1982</t>
        </is>
      </c>
      <c r="C1110" t="inlineStr">
        <is>
          <t>0                      BV 0770000D  4           1982</t>
        </is>
      </c>
      <c r="D1110" t="inlineStr">
        <is>
          <t>How to increase parish income / Henry F. de Mena, Jr.</t>
        </is>
      </c>
      <c r="F1110" t="inlineStr">
        <is>
          <t>No</t>
        </is>
      </c>
      <c r="G1110" t="inlineStr">
        <is>
          <t>1</t>
        </is>
      </c>
      <c r="H1110" t="inlineStr">
        <is>
          <t>No</t>
        </is>
      </c>
      <c r="I1110" t="inlineStr">
        <is>
          <t>No</t>
        </is>
      </c>
      <c r="J1110" t="inlineStr">
        <is>
          <t>0</t>
        </is>
      </c>
      <c r="K1110" t="inlineStr">
        <is>
          <t>De Mena, Henry F.</t>
        </is>
      </c>
      <c r="L1110" t="inlineStr">
        <is>
          <t>Mystic, CT : Twenty-Third Publications, c1982.</t>
        </is>
      </c>
      <c r="M1110" t="inlineStr">
        <is>
          <t>1982</t>
        </is>
      </c>
      <c r="O1110" t="inlineStr">
        <is>
          <t>eng</t>
        </is>
      </c>
      <c r="P1110" t="inlineStr">
        <is>
          <t>ctu</t>
        </is>
      </c>
      <c r="R1110" t="inlineStr">
        <is>
          <t xml:space="preserve">BV </t>
        </is>
      </c>
      <c r="S1110" t="n">
        <v>4</v>
      </c>
      <c r="T1110" t="n">
        <v>4</v>
      </c>
      <c r="U1110" t="inlineStr">
        <is>
          <t>1996-07-01</t>
        </is>
      </c>
      <c r="V1110" t="inlineStr">
        <is>
          <t>1996-07-01</t>
        </is>
      </c>
      <c r="W1110" t="inlineStr">
        <is>
          <t>1990-11-27</t>
        </is>
      </c>
      <c r="X1110" t="inlineStr">
        <is>
          <t>1990-11-27</t>
        </is>
      </c>
      <c r="Y1110" t="n">
        <v>33</v>
      </c>
      <c r="Z1110" t="n">
        <v>30</v>
      </c>
      <c r="AA1110" t="n">
        <v>30</v>
      </c>
      <c r="AB1110" t="n">
        <v>1</v>
      </c>
      <c r="AC1110" t="n">
        <v>1</v>
      </c>
      <c r="AD1110" t="n">
        <v>3</v>
      </c>
      <c r="AE1110" t="n">
        <v>3</v>
      </c>
      <c r="AF1110" t="n">
        <v>0</v>
      </c>
      <c r="AG1110" t="n">
        <v>0</v>
      </c>
      <c r="AH1110" t="n">
        <v>1</v>
      </c>
      <c r="AI1110" t="n">
        <v>1</v>
      </c>
      <c r="AJ1110" t="n">
        <v>2</v>
      </c>
      <c r="AK1110" t="n">
        <v>2</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HYPERLINK("https://creighton-primo.hosted.exlibrisgroup.com/primo-explore/search?tab=default_tab&amp;search_scope=EVERYTHING&amp;vid=01CRU&amp;lang=en_US&amp;offset=0&amp;query=any,contains,991000460269702656","Catalog Record")</f>
        <v/>
      </c>
      <c r="AT1110">
        <f>HYPERLINK("http://www.worldcat.org/oclc/10925148","WorldCat Record")</f>
        <v/>
      </c>
      <c r="AU1110" t="inlineStr">
        <is>
          <t>3439501:eng</t>
        </is>
      </c>
      <c r="AV1110" t="inlineStr">
        <is>
          <t>10925148</t>
        </is>
      </c>
      <c r="AW1110" t="inlineStr">
        <is>
          <t>991000460269702656</t>
        </is>
      </c>
      <c r="AX1110" t="inlineStr">
        <is>
          <t>991000460269702656</t>
        </is>
      </c>
      <c r="AY1110" t="inlineStr">
        <is>
          <t>2272781460002656</t>
        </is>
      </c>
      <c r="AZ1110" t="inlineStr">
        <is>
          <t>BOOK</t>
        </is>
      </c>
      <c r="BB1110" t="inlineStr">
        <is>
          <t>9780896221604</t>
        </is>
      </c>
      <c r="BC1110" t="inlineStr">
        <is>
          <t>32285000297340</t>
        </is>
      </c>
      <c r="BD1110" t="inlineStr">
        <is>
          <t>893890697</t>
        </is>
      </c>
    </row>
    <row r="1111">
      <c r="A1111" t="inlineStr">
        <is>
          <t>No</t>
        </is>
      </c>
      <c r="B1111" t="inlineStr">
        <is>
          <t>BV772 .C37 1993</t>
        </is>
      </c>
      <c r="C1111" t="inlineStr">
        <is>
          <t>0                      BV 0772000C  37          1993</t>
        </is>
      </c>
      <c r="D1111" t="inlineStr">
        <is>
          <t>Stewardship : a disciple's response / National Conference of Catholic Bishops.</t>
        </is>
      </c>
      <c r="F1111" t="inlineStr">
        <is>
          <t>No</t>
        </is>
      </c>
      <c r="G1111" t="inlineStr">
        <is>
          <t>1</t>
        </is>
      </c>
      <c r="H1111" t="inlineStr">
        <is>
          <t>No</t>
        </is>
      </c>
      <c r="I1111" t="inlineStr">
        <is>
          <t>No</t>
        </is>
      </c>
      <c r="J1111" t="inlineStr">
        <is>
          <t>0</t>
        </is>
      </c>
      <c r="K1111" t="inlineStr">
        <is>
          <t>Catholic Church. National Conference of Catholic Bishops. Ad Hoc Committee on Stewardship.</t>
        </is>
      </c>
      <c r="L1111" t="inlineStr">
        <is>
          <t>Washington, D.C. : Office for Publishing and Promotion Services, United States Catholic Conference, c1993.</t>
        </is>
      </c>
      <c r="M1111" t="inlineStr">
        <is>
          <t>1993</t>
        </is>
      </c>
      <c r="O1111" t="inlineStr">
        <is>
          <t>eng</t>
        </is>
      </c>
      <c r="P1111" t="inlineStr">
        <is>
          <t>dcu</t>
        </is>
      </c>
      <c r="Q1111" t="inlineStr">
        <is>
          <t>Publication / United States Catholic Conference, Office for Publishing and Promotion Services ; no. 567-4</t>
        </is>
      </c>
      <c r="R1111" t="inlineStr">
        <is>
          <t xml:space="preserve">BV </t>
        </is>
      </c>
      <c r="S1111" t="n">
        <v>3</v>
      </c>
      <c r="T1111" t="n">
        <v>3</v>
      </c>
      <c r="U1111" t="inlineStr">
        <is>
          <t>2003-06-17</t>
        </is>
      </c>
      <c r="V1111" t="inlineStr">
        <is>
          <t>2003-06-17</t>
        </is>
      </c>
      <c r="W1111" t="inlineStr">
        <is>
          <t>1993-08-03</t>
        </is>
      </c>
      <c r="X1111" t="inlineStr">
        <is>
          <t>1993-08-03</t>
        </is>
      </c>
      <c r="Y1111" t="n">
        <v>93</v>
      </c>
      <c r="Z1111" t="n">
        <v>88</v>
      </c>
      <c r="AA1111" t="n">
        <v>91</v>
      </c>
      <c r="AB1111" t="n">
        <v>1</v>
      </c>
      <c r="AC1111" t="n">
        <v>1</v>
      </c>
      <c r="AD1111" t="n">
        <v>12</v>
      </c>
      <c r="AE1111" t="n">
        <v>13</v>
      </c>
      <c r="AF1111" t="n">
        <v>3</v>
      </c>
      <c r="AG1111" t="n">
        <v>3</v>
      </c>
      <c r="AH1111" t="n">
        <v>4</v>
      </c>
      <c r="AI1111" t="n">
        <v>4</v>
      </c>
      <c r="AJ1111" t="n">
        <v>9</v>
      </c>
      <c r="AK1111" t="n">
        <v>10</v>
      </c>
      <c r="AL1111" t="n">
        <v>0</v>
      </c>
      <c r="AM1111" t="n">
        <v>0</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HYPERLINK("https://creighton-primo.hosted.exlibrisgroup.com/primo-explore/search?tab=default_tab&amp;search_scope=EVERYTHING&amp;vid=01CRU&amp;lang=en_US&amp;offset=0&amp;query=any,contains,991002201569702656","Catalog Record")</f>
        <v/>
      </c>
      <c r="AT1111">
        <f>HYPERLINK("http://www.worldcat.org/oclc/28315274","WorldCat Record")</f>
        <v/>
      </c>
      <c r="AU1111" t="inlineStr">
        <is>
          <t>503737474:eng</t>
        </is>
      </c>
      <c r="AV1111" t="inlineStr">
        <is>
          <t>28315274</t>
        </is>
      </c>
      <c r="AW1111" t="inlineStr">
        <is>
          <t>991002201569702656</t>
        </is>
      </c>
      <c r="AX1111" t="inlineStr">
        <is>
          <t>991002201569702656</t>
        </is>
      </c>
      <c r="AY1111" t="inlineStr">
        <is>
          <t>2259537450002656</t>
        </is>
      </c>
      <c r="AZ1111" t="inlineStr">
        <is>
          <t>BOOK</t>
        </is>
      </c>
      <c r="BB1111" t="inlineStr">
        <is>
          <t>9781555865672</t>
        </is>
      </c>
      <c r="BC1111" t="inlineStr">
        <is>
          <t>32285001739928</t>
        </is>
      </c>
      <c r="BD1111" t="inlineStr">
        <is>
          <t>893335047</t>
        </is>
      </c>
    </row>
    <row r="1112">
      <c r="A1112" t="inlineStr">
        <is>
          <t>No</t>
        </is>
      </c>
      <c r="B1112" t="inlineStr">
        <is>
          <t>BV772 .C37 2002</t>
        </is>
      </c>
      <c r="C1112" t="inlineStr">
        <is>
          <t>0                      BV 0772000C  37          2002</t>
        </is>
      </c>
      <c r="D1112" t="inlineStr">
        <is>
          <t>Stewardship : a disciple's response : a pastoral letter on stewardship / United States Conference of Catholic Bishops.</t>
        </is>
      </c>
      <c r="F1112" t="inlineStr">
        <is>
          <t>No</t>
        </is>
      </c>
      <c r="G1112" t="inlineStr">
        <is>
          <t>1</t>
        </is>
      </c>
      <c r="H1112" t="inlineStr">
        <is>
          <t>No</t>
        </is>
      </c>
      <c r="I1112" t="inlineStr">
        <is>
          <t>No</t>
        </is>
      </c>
      <c r="J1112" t="inlineStr">
        <is>
          <t>0</t>
        </is>
      </c>
      <c r="K1112" t="inlineStr">
        <is>
          <t>Catholic Church. United States Conference of Catholic Bishops. Ad Hoc Committee on Stewardship.</t>
        </is>
      </c>
      <c r="L1112" t="inlineStr">
        <is>
          <t>Washington, D.C. : United States Conference of Catholic Bishops, c2002.</t>
        </is>
      </c>
      <c r="M1112" t="inlineStr">
        <is>
          <t>2002</t>
        </is>
      </c>
      <c r="N1112" t="inlineStr">
        <is>
          <t>10th anniversary ed.</t>
        </is>
      </c>
      <c r="O1112" t="inlineStr">
        <is>
          <t>eng</t>
        </is>
      </c>
      <c r="P1112" t="inlineStr">
        <is>
          <t>dcu</t>
        </is>
      </c>
      <c r="R1112" t="inlineStr">
        <is>
          <t xml:space="preserve">BV </t>
        </is>
      </c>
      <c r="S1112" t="n">
        <v>3</v>
      </c>
      <c r="T1112" t="n">
        <v>3</v>
      </c>
      <c r="U1112" t="inlineStr">
        <is>
          <t>2008-04-27</t>
        </is>
      </c>
      <c r="V1112" t="inlineStr">
        <is>
          <t>2008-04-27</t>
        </is>
      </c>
      <c r="W1112" t="inlineStr">
        <is>
          <t>2003-03-24</t>
        </is>
      </c>
      <c r="X1112" t="inlineStr">
        <is>
          <t>2003-03-24</t>
        </is>
      </c>
      <c r="Y1112" t="n">
        <v>82</v>
      </c>
      <c r="Z1112" t="n">
        <v>78</v>
      </c>
      <c r="AA1112" t="n">
        <v>78</v>
      </c>
      <c r="AB1112" t="n">
        <v>1</v>
      </c>
      <c r="AC1112" t="n">
        <v>1</v>
      </c>
      <c r="AD1112" t="n">
        <v>10</v>
      </c>
      <c r="AE1112" t="n">
        <v>10</v>
      </c>
      <c r="AF1112" t="n">
        <v>2</v>
      </c>
      <c r="AG1112" t="n">
        <v>2</v>
      </c>
      <c r="AH1112" t="n">
        <v>3</v>
      </c>
      <c r="AI1112" t="n">
        <v>3</v>
      </c>
      <c r="AJ1112" t="n">
        <v>7</v>
      </c>
      <c r="AK1112" t="n">
        <v>7</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HYPERLINK("https://creighton-primo.hosted.exlibrisgroup.com/primo-explore/search?tab=default_tab&amp;search_scope=EVERYTHING&amp;vid=01CRU&amp;lang=en_US&amp;offset=0&amp;query=any,contains,991004031519702656","Catalog Record")</f>
        <v/>
      </c>
      <c r="AT1112">
        <f>HYPERLINK("http://www.worldcat.org/oclc/51881446","WorldCat Record")</f>
        <v/>
      </c>
      <c r="AU1112" t="inlineStr">
        <is>
          <t>4202641023:eng</t>
        </is>
      </c>
      <c r="AV1112" t="inlineStr">
        <is>
          <t>51881446</t>
        </is>
      </c>
      <c r="AW1112" t="inlineStr">
        <is>
          <t>991004031519702656</t>
        </is>
      </c>
      <c r="AX1112" t="inlineStr">
        <is>
          <t>991004031519702656</t>
        </is>
      </c>
      <c r="AY1112" t="inlineStr">
        <is>
          <t>2272008610002656</t>
        </is>
      </c>
      <c r="AZ1112" t="inlineStr">
        <is>
          <t>BOOK</t>
        </is>
      </c>
      <c r="BB1112" t="inlineStr">
        <is>
          <t>9781574554656</t>
        </is>
      </c>
      <c r="BC1112" t="inlineStr">
        <is>
          <t>32285004686381</t>
        </is>
      </c>
      <c r="BD1112" t="inlineStr">
        <is>
          <t>893525552</t>
        </is>
      </c>
    </row>
    <row r="1113">
      <c r="A1113" t="inlineStr">
        <is>
          <t>No</t>
        </is>
      </c>
      <c r="B1113" t="inlineStr">
        <is>
          <t>BV772 .E2</t>
        </is>
      </c>
      <c r="C1113" t="inlineStr">
        <is>
          <t>0                      BV 0772000E  2</t>
        </is>
      </c>
      <c r="D1113" t="inlineStr">
        <is>
          <t>The Earth is the Lord's : essays on stewardship / edited by Mary Evelyn Jegen and Bruno Manno.</t>
        </is>
      </c>
      <c r="F1113" t="inlineStr">
        <is>
          <t>No</t>
        </is>
      </c>
      <c r="G1113" t="inlineStr">
        <is>
          <t>1</t>
        </is>
      </c>
      <c r="H1113" t="inlineStr">
        <is>
          <t>No</t>
        </is>
      </c>
      <c r="I1113" t="inlineStr">
        <is>
          <t>No</t>
        </is>
      </c>
      <c r="J1113" t="inlineStr">
        <is>
          <t>0</t>
        </is>
      </c>
      <c r="L1113" t="inlineStr">
        <is>
          <t>New York : Paulist Press, c1978.</t>
        </is>
      </c>
      <c r="M1113" t="inlineStr">
        <is>
          <t>1978</t>
        </is>
      </c>
      <c r="O1113" t="inlineStr">
        <is>
          <t>eng</t>
        </is>
      </c>
      <c r="P1113" t="inlineStr">
        <is>
          <t>nyu</t>
        </is>
      </c>
      <c r="R1113" t="inlineStr">
        <is>
          <t xml:space="preserve">BV </t>
        </is>
      </c>
      <c r="S1113" t="n">
        <v>6</v>
      </c>
      <c r="T1113" t="n">
        <v>6</v>
      </c>
      <c r="U1113" t="inlineStr">
        <is>
          <t>2003-06-17</t>
        </is>
      </c>
      <c r="V1113" t="inlineStr">
        <is>
          <t>2003-06-17</t>
        </is>
      </c>
      <c r="W1113" t="inlineStr">
        <is>
          <t>1992-01-17</t>
        </is>
      </c>
      <c r="X1113" t="inlineStr">
        <is>
          <t>1992-01-17</t>
        </is>
      </c>
      <c r="Y1113" t="n">
        <v>260</v>
      </c>
      <c r="Z1113" t="n">
        <v>235</v>
      </c>
      <c r="AA1113" t="n">
        <v>236</v>
      </c>
      <c r="AB1113" t="n">
        <v>1</v>
      </c>
      <c r="AC1113" t="n">
        <v>1</v>
      </c>
      <c r="AD1113" t="n">
        <v>21</v>
      </c>
      <c r="AE1113" t="n">
        <v>21</v>
      </c>
      <c r="AF1113" t="n">
        <v>7</v>
      </c>
      <c r="AG1113" t="n">
        <v>7</v>
      </c>
      <c r="AH1113" t="n">
        <v>5</v>
      </c>
      <c r="AI1113" t="n">
        <v>5</v>
      </c>
      <c r="AJ1113" t="n">
        <v>16</v>
      </c>
      <c r="AK1113" t="n">
        <v>16</v>
      </c>
      <c r="AL1113" t="n">
        <v>0</v>
      </c>
      <c r="AM1113" t="n">
        <v>0</v>
      </c>
      <c r="AN1113" t="n">
        <v>0</v>
      </c>
      <c r="AO1113" t="n">
        <v>0</v>
      </c>
      <c r="AP1113" t="inlineStr">
        <is>
          <t>No</t>
        </is>
      </c>
      <c r="AQ1113" t="inlineStr">
        <is>
          <t>Yes</t>
        </is>
      </c>
      <c r="AR1113">
        <f>HYPERLINK("http://catalog.hathitrust.org/Record/102374881","HathiTrust Record")</f>
        <v/>
      </c>
      <c r="AS1113">
        <f>HYPERLINK("https://creighton-primo.hosted.exlibrisgroup.com/primo-explore/search?tab=default_tab&amp;search_scope=EVERYTHING&amp;vid=01CRU&amp;lang=en_US&amp;offset=0&amp;query=any,contains,991004471499702656","Catalog Record")</f>
        <v/>
      </c>
      <c r="AT1113">
        <f>HYPERLINK("http://www.worldcat.org/oclc/3600115","WorldCat Record")</f>
        <v/>
      </c>
      <c r="AU1113" t="inlineStr">
        <is>
          <t>10915730:eng</t>
        </is>
      </c>
      <c r="AV1113" t="inlineStr">
        <is>
          <t>3600115</t>
        </is>
      </c>
      <c r="AW1113" t="inlineStr">
        <is>
          <t>991004471499702656</t>
        </is>
      </c>
      <c r="AX1113" t="inlineStr">
        <is>
          <t>991004471499702656</t>
        </is>
      </c>
      <c r="AY1113" t="inlineStr">
        <is>
          <t>2265237950002656</t>
        </is>
      </c>
      <c r="AZ1113" t="inlineStr">
        <is>
          <t>BOOK</t>
        </is>
      </c>
      <c r="BB1113" t="inlineStr">
        <is>
          <t>9780809120673</t>
        </is>
      </c>
      <c r="BC1113" t="inlineStr">
        <is>
          <t>32285000904895</t>
        </is>
      </c>
      <c r="BD1113" t="inlineStr">
        <is>
          <t>893229399</t>
        </is>
      </c>
    </row>
    <row r="1114">
      <c r="A1114" t="inlineStr">
        <is>
          <t>No</t>
        </is>
      </c>
      <c r="B1114" t="inlineStr">
        <is>
          <t>BV8 .W45 1997</t>
        </is>
      </c>
      <c r="C1114" t="inlineStr">
        <is>
          <t>0                      BV 0008000W  45          1997</t>
        </is>
      </c>
      <c r="D1114" t="inlineStr">
        <is>
          <t>Christian worship in North America : a retrospective, 1955-1995 / James F. White.</t>
        </is>
      </c>
      <c r="F1114" t="inlineStr">
        <is>
          <t>No</t>
        </is>
      </c>
      <c r="G1114" t="inlineStr">
        <is>
          <t>1</t>
        </is>
      </c>
      <c r="H1114" t="inlineStr">
        <is>
          <t>No</t>
        </is>
      </c>
      <c r="I1114" t="inlineStr">
        <is>
          <t>No</t>
        </is>
      </c>
      <c r="J1114" t="inlineStr">
        <is>
          <t>0</t>
        </is>
      </c>
      <c r="K1114" t="inlineStr">
        <is>
          <t>White, James F.</t>
        </is>
      </c>
      <c r="L1114" t="inlineStr">
        <is>
          <t>Collegeville, Minn. : Liturgical Press, c1997.</t>
        </is>
      </c>
      <c r="M1114" t="inlineStr">
        <is>
          <t>1997</t>
        </is>
      </c>
      <c r="O1114" t="inlineStr">
        <is>
          <t>eng</t>
        </is>
      </c>
      <c r="P1114" t="inlineStr">
        <is>
          <t>mnu</t>
        </is>
      </c>
      <c r="R1114" t="inlineStr">
        <is>
          <t xml:space="preserve">BV </t>
        </is>
      </c>
      <c r="S1114" t="n">
        <v>8</v>
      </c>
      <c r="T1114" t="n">
        <v>8</v>
      </c>
      <c r="U1114" t="inlineStr">
        <is>
          <t>2005-11-12</t>
        </is>
      </c>
      <c r="V1114" t="inlineStr">
        <is>
          <t>2005-11-12</t>
        </is>
      </c>
      <c r="W1114" t="inlineStr">
        <is>
          <t>1997-04-21</t>
        </is>
      </c>
      <c r="X1114" t="inlineStr">
        <is>
          <t>1997-04-21</t>
        </is>
      </c>
      <c r="Y1114" t="n">
        <v>259</v>
      </c>
      <c r="Z1114" t="n">
        <v>226</v>
      </c>
      <c r="AA1114" t="n">
        <v>232</v>
      </c>
      <c r="AB1114" t="n">
        <v>3</v>
      </c>
      <c r="AC1114" t="n">
        <v>3</v>
      </c>
      <c r="AD1114" t="n">
        <v>20</v>
      </c>
      <c r="AE1114" t="n">
        <v>20</v>
      </c>
      <c r="AF1114" t="n">
        <v>7</v>
      </c>
      <c r="AG1114" t="n">
        <v>7</v>
      </c>
      <c r="AH1114" t="n">
        <v>3</v>
      </c>
      <c r="AI1114" t="n">
        <v>3</v>
      </c>
      <c r="AJ1114" t="n">
        <v>13</v>
      </c>
      <c r="AK1114" t="n">
        <v>13</v>
      </c>
      <c r="AL1114" t="n">
        <v>2</v>
      </c>
      <c r="AM1114" t="n">
        <v>2</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HYPERLINK("https://creighton-primo.hosted.exlibrisgroup.com/primo-explore/search?tab=default_tab&amp;search_scope=EVERYTHING&amp;vid=01CRU&amp;lang=en_US&amp;offset=0&amp;query=any,contains,991002693289702656","Catalog Record")</f>
        <v/>
      </c>
      <c r="AT1114">
        <f>HYPERLINK("http://www.worldcat.org/oclc/35174811","WorldCat Record")</f>
        <v/>
      </c>
      <c r="AU1114" t="inlineStr">
        <is>
          <t>839401320:eng</t>
        </is>
      </c>
      <c r="AV1114" t="inlineStr">
        <is>
          <t>35174811</t>
        </is>
      </c>
      <c r="AW1114" t="inlineStr">
        <is>
          <t>991002693289702656</t>
        </is>
      </c>
      <c r="AX1114" t="inlineStr">
        <is>
          <t>991002693289702656</t>
        </is>
      </c>
      <c r="AY1114" t="inlineStr">
        <is>
          <t>2271784060002656</t>
        </is>
      </c>
      <c r="AZ1114" t="inlineStr">
        <is>
          <t>BOOK</t>
        </is>
      </c>
      <c r="BB1114" t="inlineStr">
        <is>
          <t>9780814661567</t>
        </is>
      </c>
      <c r="BC1114" t="inlineStr">
        <is>
          <t>32285002499076</t>
        </is>
      </c>
      <c r="BD1114" t="inlineStr">
        <is>
          <t>893597762</t>
        </is>
      </c>
    </row>
    <row r="1115">
      <c r="A1115" t="inlineStr">
        <is>
          <t>No</t>
        </is>
      </c>
      <c r="B1115" t="inlineStr">
        <is>
          <t>BV8 .W67 2004</t>
        </is>
      </c>
      <c r="C1115" t="inlineStr">
        <is>
          <t>0                      BV 0008000W  67          2004</t>
        </is>
      </c>
      <c r="D1115" t="inlineStr">
        <is>
          <t>Worship in medieval and early modern Europe : change and continuity in religious practice / edited by Karin Maag &amp; John D. Witvliet.</t>
        </is>
      </c>
      <c r="F1115" t="inlineStr">
        <is>
          <t>No</t>
        </is>
      </c>
      <c r="G1115" t="inlineStr">
        <is>
          <t>1</t>
        </is>
      </c>
      <c r="H1115" t="inlineStr">
        <is>
          <t>No</t>
        </is>
      </c>
      <c r="I1115" t="inlineStr">
        <is>
          <t>No</t>
        </is>
      </c>
      <c r="J1115" t="inlineStr">
        <is>
          <t>0</t>
        </is>
      </c>
      <c r="L1115" t="inlineStr">
        <is>
          <t>Notre Dame, Ind. : University of Notre Dame Press, c2004.</t>
        </is>
      </c>
      <c r="M1115" t="inlineStr">
        <is>
          <t>2004</t>
        </is>
      </c>
      <c r="O1115" t="inlineStr">
        <is>
          <t>eng</t>
        </is>
      </c>
      <c r="P1115" t="inlineStr">
        <is>
          <t>inu</t>
        </is>
      </c>
      <c r="R1115" t="inlineStr">
        <is>
          <t xml:space="preserve">BV </t>
        </is>
      </c>
      <c r="S1115" t="n">
        <v>4</v>
      </c>
      <c r="T1115" t="n">
        <v>4</v>
      </c>
      <c r="U1115" t="inlineStr">
        <is>
          <t>2009-06-01</t>
        </is>
      </c>
      <c r="V1115" t="inlineStr">
        <is>
          <t>2009-06-01</t>
        </is>
      </c>
      <c r="W1115" t="inlineStr">
        <is>
          <t>2005-11-28</t>
        </is>
      </c>
      <c r="X1115" t="inlineStr">
        <is>
          <t>2005-11-28</t>
        </is>
      </c>
      <c r="Y1115" t="n">
        <v>329</v>
      </c>
      <c r="Z1115" t="n">
        <v>252</v>
      </c>
      <c r="AA1115" t="n">
        <v>255</v>
      </c>
      <c r="AB1115" t="n">
        <v>1</v>
      </c>
      <c r="AC1115" t="n">
        <v>1</v>
      </c>
      <c r="AD1115" t="n">
        <v>20</v>
      </c>
      <c r="AE1115" t="n">
        <v>20</v>
      </c>
      <c r="AF1115" t="n">
        <v>8</v>
      </c>
      <c r="AG1115" t="n">
        <v>8</v>
      </c>
      <c r="AH1115" t="n">
        <v>8</v>
      </c>
      <c r="AI1115" t="n">
        <v>8</v>
      </c>
      <c r="AJ1115" t="n">
        <v>10</v>
      </c>
      <c r="AK1115" t="n">
        <v>10</v>
      </c>
      <c r="AL1115" t="n">
        <v>0</v>
      </c>
      <c r="AM1115" t="n">
        <v>0</v>
      </c>
      <c r="AN1115" t="n">
        <v>0</v>
      </c>
      <c r="AO1115" t="n">
        <v>0</v>
      </c>
      <c r="AP1115" t="inlineStr">
        <is>
          <t>No</t>
        </is>
      </c>
      <c r="AQ1115" t="inlineStr">
        <is>
          <t>Yes</t>
        </is>
      </c>
      <c r="AR1115">
        <f>HYPERLINK("http://catalog.hathitrust.org/Record/004737336","HathiTrust Record")</f>
        <v/>
      </c>
      <c r="AS1115">
        <f>HYPERLINK("https://creighton-primo.hosted.exlibrisgroup.com/primo-explore/search?tab=default_tab&amp;search_scope=EVERYTHING&amp;vid=01CRU&amp;lang=en_US&amp;offset=0&amp;query=any,contains,991004682229702656","Catalog Record")</f>
        <v/>
      </c>
      <c r="AT1115">
        <f>HYPERLINK("http://www.worldcat.org/oclc/53483587","WorldCat Record")</f>
        <v/>
      </c>
      <c r="AU1115" t="inlineStr">
        <is>
          <t>904851700:eng</t>
        </is>
      </c>
      <c r="AV1115" t="inlineStr">
        <is>
          <t>53483587</t>
        </is>
      </c>
      <c r="AW1115" t="inlineStr">
        <is>
          <t>991004682229702656</t>
        </is>
      </c>
      <c r="AX1115" t="inlineStr">
        <is>
          <t>991004682229702656</t>
        </is>
      </c>
      <c r="AY1115" t="inlineStr">
        <is>
          <t>2264945520002656</t>
        </is>
      </c>
      <c r="AZ1115" t="inlineStr">
        <is>
          <t>BOOK</t>
        </is>
      </c>
      <c r="BB1115" t="inlineStr">
        <is>
          <t>9780268034740</t>
        </is>
      </c>
      <c r="BC1115" t="inlineStr">
        <is>
          <t>32285005149009</t>
        </is>
      </c>
      <c r="BD1115" t="inlineStr">
        <is>
          <t>893801220</t>
        </is>
      </c>
    </row>
    <row r="1116">
      <c r="A1116" t="inlineStr">
        <is>
          <t>No</t>
        </is>
      </c>
      <c r="B1116" t="inlineStr">
        <is>
          <t>BV800 .B43</t>
        </is>
      </c>
      <c r="C1116" t="inlineStr">
        <is>
          <t>0                      BV 0800000B  43</t>
        </is>
      </c>
      <c r="D1116" t="inlineStr">
        <is>
          <t>Grounded in love : sacramental theology in an ecumenical perspective / Frans Jozef van Beeck.</t>
        </is>
      </c>
      <c r="F1116" t="inlineStr">
        <is>
          <t>No</t>
        </is>
      </c>
      <c r="G1116" t="inlineStr">
        <is>
          <t>1</t>
        </is>
      </c>
      <c r="H1116" t="inlineStr">
        <is>
          <t>No</t>
        </is>
      </c>
      <c r="I1116" t="inlineStr">
        <is>
          <t>No</t>
        </is>
      </c>
      <c r="J1116" t="inlineStr">
        <is>
          <t>0</t>
        </is>
      </c>
      <c r="K1116" t="inlineStr">
        <is>
          <t>Beeck, Frans Jozef van.</t>
        </is>
      </c>
      <c r="L1116" t="inlineStr">
        <is>
          <t>Washington, D.C. : University Press of America, c1981.</t>
        </is>
      </c>
      <c r="M1116" t="inlineStr">
        <is>
          <t>1981</t>
        </is>
      </c>
      <c r="O1116" t="inlineStr">
        <is>
          <t>eng</t>
        </is>
      </c>
      <c r="P1116" t="inlineStr">
        <is>
          <t>dcu</t>
        </is>
      </c>
      <c r="R1116" t="inlineStr">
        <is>
          <t xml:space="preserve">BV </t>
        </is>
      </c>
      <c r="S1116" t="n">
        <v>7</v>
      </c>
      <c r="T1116" t="n">
        <v>7</v>
      </c>
      <c r="U1116" t="inlineStr">
        <is>
          <t>2004-11-10</t>
        </is>
      </c>
      <c r="V1116" t="inlineStr">
        <is>
          <t>2004-11-10</t>
        </is>
      </c>
      <c r="W1116" t="inlineStr">
        <is>
          <t>1990-04-20</t>
        </is>
      </c>
      <c r="X1116" t="inlineStr">
        <is>
          <t>1990-04-20</t>
        </is>
      </c>
      <c r="Y1116" t="n">
        <v>190</v>
      </c>
      <c r="Z1116" t="n">
        <v>152</v>
      </c>
      <c r="AA1116" t="n">
        <v>152</v>
      </c>
      <c r="AB1116" t="n">
        <v>2</v>
      </c>
      <c r="AC1116" t="n">
        <v>2</v>
      </c>
      <c r="AD1116" t="n">
        <v>23</v>
      </c>
      <c r="AE1116" t="n">
        <v>23</v>
      </c>
      <c r="AF1116" t="n">
        <v>4</v>
      </c>
      <c r="AG1116" t="n">
        <v>4</v>
      </c>
      <c r="AH1116" t="n">
        <v>7</v>
      </c>
      <c r="AI1116" t="n">
        <v>7</v>
      </c>
      <c r="AJ1116" t="n">
        <v>18</v>
      </c>
      <c r="AK1116" t="n">
        <v>18</v>
      </c>
      <c r="AL1116" t="n">
        <v>1</v>
      </c>
      <c r="AM1116" t="n">
        <v>1</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HYPERLINK("https://creighton-primo.hosted.exlibrisgroup.com/primo-explore/search?tab=default_tab&amp;search_scope=EVERYTHING&amp;vid=01CRU&amp;lang=en_US&amp;offset=0&amp;query=any,contains,991005175659702656","Catalog Record")</f>
        <v/>
      </c>
      <c r="AT1116">
        <f>HYPERLINK("http://www.worldcat.org/oclc/7922532","WorldCat Record")</f>
        <v/>
      </c>
      <c r="AU1116" t="inlineStr">
        <is>
          <t>427618889:eng</t>
        </is>
      </c>
      <c r="AV1116" t="inlineStr">
        <is>
          <t>7922532</t>
        </is>
      </c>
      <c r="AW1116" t="inlineStr">
        <is>
          <t>991005175659702656</t>
        </is>
      </c>
      <c r="AX1116" t="inlineStr">
        <is>
          <t>991005175659702656</t>
        </is>
      </c>
      <c r="AY1116" t="inlineStr">
        <is>
          <t>2259460490002656</t>
        </is>
      </c>
      <c r="AZ1116" t="inlineStr">
        <is>
          <t>BOOK</t>
        </is>
      </c>
      <c r="BB1116" t="inlineStr">
        <is>
          <t>9780819120403</t>
        </is>
      </c>
      <c r="BC1116" t="inlineStr">
        <is>
          <t>32285000130111</t>
        </is>
      </c>
      <c r="BD1116" t="inlineStr">
        <is>
          <t>893600752</t>
        </is>
      </c>
    </row>
    <row r="1117">
      <c r="A1117" t="inlineStr">
        <is>
          <t>No</t>
        </is>
      </c>
      <c r="B1117" t="inlineStr">
        <is>
          <t>BV800 .B6813 1968</t>
        </is>
      </c>
      <c r="C1117" t="inlineStr">
        <is>
          <t>0                      BV 0800000B  6813        1968</t>
        </is>
      </c>
      <c r="D1117" t="inlineStr">
        <is>
          <t>The spirituality of the sacraments : doctrine and practice for today / by Bernard Bro. Translated by Theodore DuBois.</t>
        </is>
      </c>
      <c r="F1117" t="inlineStr">
        <is>
          <t>No</t>
        </is>
      </c>
      <c r="G1117" t="inlineStr">
        <is>
          <t>1</t>
        </is>
      </c>
      <c r="H1117" t="inlineStr">
        <is>
          <t>No</t>
        </is>
      </c>
      <c r="I1117" t="inlineStr">
        <is>
          <t>No</t>
        </is>
      </c>
      <c r="J1117" t="inlineStr">
        <is>
          <t>0</t>
        </is>
      </c>
      <c r="K1117" t="inlineStr">
        <is>
          <t>Bro, Bernard.</t>
        </is>
      </c>
      <c r="L1117" t="inlineStr">
        <is>
          <t>New York : Sheed and Ward, [1968]</t>
        </is>
      </c>
      <c r="M1117" t="inlineStr">
        <is>
          <t>1968</t>
        </is>
      </c>
      <c r="O1117" t="inlineStr">
        <is>
          <t>eng</t>
        </is>
      </c>
      <c r="P1117" t="inlineStr">
        <is>
          <t>nyu</t>
        </is>
      </c>
      <c r="R1117" t="inlineStr">
        <is>
          <t xml:space="preserve">BV </t>
        </is>
      </c>
      <c r="S1117" t="n">
        <v>1</v>
      </c>
      <c r="T1117" t="n">
        <v>1</v>
      </c>
      <c r="U1117" t="inlineStr">
        <is>
          <t>1994-04-25</t>
        </is>
      </c>
      <c r="V1117" t="inlineStr">
        <is>
          <t>1994-04-25</t>
        </is>
      </c>
      <c r="W1117" t="inlineStr">
        <is>
          <t>1992-01-23</t>
        </is>
      </c>
      <c r="X1117" t="inlineStr">
        <is>
          <t>1992-01-23</t>
        </is>
      </c>
      <c r="Y1117" t="n">
        <v>219</v>
      </c>
      <c r="Z1117" t="n">
        <v>195</v>
      </c>
      <c r="AA1117" t="n">
        <v>200</v>
      </c>
      <c r="AB1117" t="n">
        <v>3</v>
      </c>
      <c r="AC1117" t="n">
        <v>3</v>
      </c>
      <c r="AD1117" t="n">
        <v>27</v>
      </c>
      <c r="AE1117" t="n">
        <v>27</v>
      </c>
      <c r="AF1117" t="n">
        <v>6</v>
      </c>
      <c r="AG1117" t="n">
        <v>6</v>
      </c>
      <c r="AH1117" t="n">
        <v>8</v>
      </c>
      <c r="AI1117" t="n">
        <v>8</v>
      </c>
      <c r="AJ1117" t="n">
        <v>21</v>
      </c>
      <c r="AK1117" t="n">
        <v>21</v>
      </c>
      <c r="AL1117" t="n">
        <v>1</v>
      </c>
      <c r="AM1117" t="n">
        <v>1</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HYPERLINK("https://creighton-primo.hosted.exlibrisgroup.com/primo-explore/search?tab=default_tab&amp;search_scope=EVERYTHING&amp;vid=01CRU&amp;lang=en_US&amp;offset=0&amp;query=any,contains,991002792609702656","Catalog Record")</f>
        <v/>
      </c>
      <c r="AT1117">
        <f>HYPERLINK("http://www.worldcat.org/oclc/444117","WorldCat Record")</f>
        <v/>
      </c>
      <c r="AU1117" t="inlineStr">
        <is>
          <t>497955592:eng</t>
        </is>
      </c>
      <c r="AV1117" t="inlineStr">
        <is>
          <t>444117</t>
        </is>
      </c>
      <c r="AW1117" t="inlineStr">
        <is>
          <t>991002792609702656</t>
        </is>
      </c>
      <c r="AX1117" t="inlineStr">
        <is>
          <t>991002792609702656</t>
        </is>
      </c>
      <c r="AY1117" t="inlineStr">
        <is>
          <t>2265007140002656</t>
        </is>
      </c>
      <c r="AZ1117" t="inlineStr">
        <is>
          <t>BOOK</t>
        </is>
      </c>
      <c r="BC1117" t="inlineStr">
        <is>
          <t>32285000904937</t>
        </is>
      </c>
      <c r="BD1117" t="inlineStr">
        <is>
          <t>893710683</t>
        </is>
      </c>
    </row>
    <row r="1118">
      <c r="A1118" t="inlineStr">
        <is>
          <t>No</t>
        </is>
      </c>
      <c r="B1118" t="inlineStr">
        <is>
          <t>BV800 .C59 2003</t>
        </is>
      </c>
      <c r="C1118" t="inlineStr">
        <is>
          <t>0                      BV 0800000C  59          2003</t>
        </is>
      </c>
      <c r="D1118" t="inlineStr">
        <is>
          <t>Immersed in the sacred : discovering the "small s" sacraments / Kathy Coffey.</t>
        </is>
      </c>
      <c r="F1118" t="inlineStr">
        <is>
          <t>No</t>
        </is>
      </c>
      <c r="G1118" t="inlineStr">
        <is>
          <t>1</t>
        </is>
      </c>
      <c r="H1118" t="inlineStr">
        <is>
          <t>No</t>
        </is>
      </c>
      <c r="I1118" t="inlineStr">
        <is>
          <t>No</t>
        </is>
      </c>
      <c r="J1118" t="inlineStr">
        <is>
          <t>0</t>
        </is>
      </c>
      <c r="K1118" t="inlineStr">
        <is>
          <t>Coffey, Kathy.</t>
        </is>
      </c>
      <c r="L1118" t="inlineStr">
        <is>
          <t>Notre Dame, Ind. : Ave Maria Press, c2003.</t>
        </is>
      </c>
      <c r="M1118" t="inlineStr">
        <is>
          <t>2003</t>
        </is>
      </c>
      <c r="O1118" t="inlineStr">
        <is>
          <t>eng</t>
        </is>
      </c>
      <c r="P1118" t="inlineStr">
        <is>
          <t>inu</t>
        </is>
      </c>
      <c r="R1118" t="inlineStr">
        <is>
          <t xml:space="preserve">BV </t>
        </is>
      </c>
      <c r="S1118" t="n">
        <v>1</v>
      </c>
      <c r="T1118" t="n">
        <v>1</v>
      </c>
      <c r="U1118" t="inlineStr">
        <is>
          <t>2007-05-15</t>
        </is>
      </c>
      <c r="V1118" t="inlineStr">
        <is>
          <t>2007-05-15</t>
        </is>
      </c>
      <c r="W1118" t="inlineStr">
        <is>
          <t>2007-05-15</t>
        </is>
      </c>
      <c r="X1118" t="inlineStr">
        <is>
          <t>2007-05-15</t>
        </is>
      </c>
      <c r="Y1118" t="n">
        <v>44</v>
      </c>
      <c r="Z1118" t="n">
        <v>41</v>
      </c>
      <c r="AA1118" t="n">
        <v>46</v>
      </c>
      <c r="AB1118" t="n">
        <v>1</v>
      </c>
      <c r="AC1118" t="n">
        <v>1</v>
      </c>
      <c r="AD1118" t="n">
        <v>4</v>
      </c>
      <c r="AE1118" t="n">
        <v>4</v>
      </c>
      <c r="AF1118" t="n">
        <v>1</v>
      </c>
      <c r="AG1118" t="n">
        <v>1</v>
      </c>
      <c r="AH1118" t="n">
        <v>1</v>
      </c>
      <c r="AI1118" t="n">
        <v>1</v>
      </c>
      <c r="AJ1118" t="n">
        <v>3</v>
      </c>
      <c r="AK1118" t="n">
        <v>3</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HYPERLINK("https://creighton-primo.hosted.exlibrisgroup.com/primo-explore/search?tab=default_tab&amp;search_scope=EVERYTHING&amp;vid=01CRU&amp;lang=en_US&amp;offset=0&amp;query=any,contains,991005079439702656","Catalog Record")</f>
        <v/>
      </c>
      <c r="AT1118">
        <f>HYPERLINK("http://www.worldcat.org/oclc/50941901","WorldCat Record")</f>
        <v/>
      </c>
      <c r="AU1118" t="inlineStr">
        <is>
          <t>5114096977:eng</t>
        </is>
      </c>
      <c r="AV1118" t="inlineStr">
        <is>
          <t>50941901</t>
        </is>
      </c>
      <c r="AW1118" t="inlineStr">
        <is>
          <t>991005079439702656</t>
        </is>
      </c>
      <c r="AX1118" t="inlineStr">
        <is>
          <t>991005079439702656</t>
        </is>
      </c>
      <c r="AY1118" t="inlineStr">
        <is>
          <t>2257755740002656</t>
        </is>
      </c>
      <c r="AZ1118" t="inlineStr">
        <is>
          <t>BOOK</t>
        </is>
      </c>
      <c r="BB1118" t="inlineStr">
        <is>
          <t>9780877939627</t>
        </is>
      </c>
      <c r="BC1118" t="inlineStr">
        <is>
          <t>32285005312714</t>
        </is>
      </c>
      <c r="BD1118" t="inlineStr">
        <is>
          <t>893326127</t>
        </is>
      </c>
    </row>
    <row r="1119">
      <c r="A1119" t="inlineStr">
        <is>
          <t>No</t>
        </is>
      </c>
      <c r="B1119" t="inlineStr">
        <is>
          <t>BV800 .C983</t>
        </is>
      </c>
      <c r="C1119" t="inlineStr">
        <is>
          <t>0                      BV 0800000C  983</t>
        </is>
      </c>
      <c r="D1119" t="inlineStr">
        <is>
          <t>Catéchèses mystagogiques [par] Cyrille de Jérusalem. Introduction, texte critique et notes de Auguste Piédagnel. Traduction de Pierre Paris.</t>
        </is>
      </c>
      <c r="F1119" t="inlineStr">
        <is>
          <t>No</t>
        </is>
      </c>
      <c r="G1119" t="inlineStr">
        <is>
          <t>1</t>
        </is>
      </c>
      <c r="H1119" t="inlineStr">
        <is>
          <t>No</t>
        </is>
      </c>
      <c r="I1119" t="inlineStr">
        <is>
          <t>No</t>
        </is>
      </c>
      <c r="J1119" t="inlineStr">
        <is>
          <t>0</t>
        </is>
      </c>
      <c r="K1119" t="inlineStr">
        <is>
          <t>Cyril, Saint, Bishop of Jerusalem, approximately 315-386.</t>
        </is>
      </c>
      <c r="L1119" t="inlineStr">
        <is>
          <t>Paris, Editions du Cerf, 1966.</t>
        </is>
      </c>
      <c r="M1119" t="inlineStr">
        <is>
          <t>1966</t>
        </is>
      </c>
      <c r="O1119" t="inlineStr">
        <is>
          <t>fre</t>
        </is>
      </c>
      <c r="P1119" t="inlineStr">
        <is>
          <t xml:space="preserve">fr </t>
        </is>
      </c>
      <c r="Q1119" t="inlineStr">
        <is>
          <t>Sources chrétiennes ; no 126</t>
        </is>
      </c>
      <c r="R1119" t="inlineStr">
        <is>
          <t xml:space="preserve">BV </t>
        </is>
      </c>
      <c r="S1119" t="n">
        <v>1</v>
      </c>
      <c r="T1119" t="n">
        <v>1</v>
      </c>
      <c r="U1119" t="inlineStr">
        <is>
          <t>2010-11-07</t>
        </is>
      </c>
      <c r="V1119" t="inlineStr">
        <is>
          <t>2010-11-07</t>
        </is>
      </c>
      <c r="W1119" t="inlineStr">
        <is>
          <t>1992-01-23</t>
        </is>
      </c>
      <c r="X1119" t="inlineStr">
        <is>
          <t>1992-01-23</t>
        </is>
      </c>
      <c r="Y1119" t="n">
        <v>159</v>
      </c>
      <c r="Z1119" t="n">
        <v>130</v>
      </c>
      <c r="AA1119" t="n">
        <v>152</v>
      </c>
      <c r="AB1119" t="n">
        <v>2</v>
      </c>
      <c r="AC1119" t="n">
        <v>2</v>
      </c>
      <c r="AD1119" t="n">
        <v>15</v>
      </c>
      <c r="AE1119" t="n">
        <v>16</v>
      </c>
      <c r="AF1119" t="n">
        <v>4</v>
      </c>
      <c r="AG1119" t="n">
        <v>4</v>
      </c>
      <c r="AH1119" t="n">
        <v>3</v>
      </c>
      <c r="AI1119" t="n">
        <v>4</v>
      </c>
      <c r="AJ1119" t="n">
        <v>12</v>
      </c>
      <c r="AK1119" t="n">
        <v>12</v>
      </c>
      <c r="AL1119" t="n">
        <v>1</v>
      </c>
      <c r="AM1119" t="n">
        <v>1</v>
      </c>
      <c r="AN1119" t="n">
        <v>0</v>
      </c>
      <c r="AO1119" t="n">
        <v>0</v>
      </c>
      <c r="AP1119" t="inlineStr">
        <is>
          <t>No</t>
        </is>
      </c>
      <c r="AQ1119" t="inlineStr">
        <is>
          <t>Yes</t>
        </is>
      </c>
      <c r="AR1119">
        <f>HYPERLINK("http://catalog.hathitrust.org/Record/001399439","HathiTrust Record")</f>
        <v/>
      </c>
      <c r="AS1119">
        <f>HYPERLINK("https://creighton-primo.hosted.exlibrisgroup.com/primo-explore/search?tab=default_tab&amp;search_scope=EVERYTHING&amp;vid=01CRU&amp;lang=en_US&amp;offset=0&amp;query=any,contains,991003944869702656","Catalog Record")</f>
        <v/>
      </c>
      <c r="AT1119">
        <f>HYPERLINK("http://www.worldcat.org/oclc/1944684","WorldCat Record")</f>
        <v/>
      </c>
      <c r="AU1119" t="inlineStr">
        <is>
          <t>5620721008:fre</t>
        </is>
      </c>
      <c r="AV1119" t="inlineStr">
        <is>
          <t>1944684</t>
        </is>
      </c>
      <c r="AW1119" t="inlineStr">
        <is>
          <t>991003944869702656</t>
        </is>
      </c>
      <c r="AX1119" t="inlineStr">
        <is>
          <t>991003944869702656</t>
        </is>
      </c>
      <c r="AY1119" t="inlineStr">
        <is>
          <t>2266426540002656</t>
        </is>
      </c>
      <c r="AZ1119" t="inlineStr">
        <is>
          <t>BOOK</t>
        </is>
      </c>
      <c r="BC1119" t="inlineStr">
        <is>
          <t>32285000904945</t>
        </is>
      </c>
      <c r="BD1119" t="inlineStr">
        <is>
          <t>893349416</t>
        </is>
      </c>
    </row>
    <row r="1120">
      <c r="A1120" t="inlineStr">
        <is>
          <t>No</t>
        </is>
      </c>
      <c r="B1120" t="inlineStr">
        <is>
          <t>BV800 .D88 1985</t>
        </is>
      </c>
      <c r="C1120" t="inlineStr">
        <is>
          <t>0                      BV 0800000D  88          1985</t>
        </is>
      </c>
      <c r="D1120" t="inlineStr">
        <is>
          <t>Des sacrements au Concile de Trente / André Duval.</t>
        </is>
      </c>
      <c r="F1120" t="inlineStr">
        <is>
          <t>No</t>
        </is>
      </c>
      <c r="G1120" t="inlineStr">
        <is>
          <t>1</t>
        </is>
      </c>
      <c r="H1120" t="inlineStr">
        <is>
          <t>No</t>
        </is>
      </c>
      <c r="I1120" t="inlineStr">
        <is>
          <t>No</t>
        </is>
      </c>
      <c r="J1120" t="inlineStr">
        <is>
          <t>0</t>
        </is>
      </c>
      <c r="K1120" t="inlineStr">
        <is>
          <t>Duval, André, 1920-2018.</t>
        </is>
      </c>
      <c r="L1120" t="inlineStr">
        <is>
          <t>Paris : Editions du Cerf, 1985.</t>
        </is>
      </c>
      <c r="M1120" t="inlineStr">
        <is>
          <t>1985</t>
        </is>
      </c>
      <c r="O1120" t="inlineStr">
        <is>
          <t>fre</t>
        </is>
      </c>
      <c r="P1120" t="inlineStr">
        <is>
          <t xml:space="preserve">fr </t>
        </is>
      </c>
      <c r="Q1120" t="inlineStr">
        <is>
          <t>Rites et symboles, 0750-196X ; 16</t>
        </is>
      </c>
      <c r="R1120" t="inlineStr">
        <is>
          <t xml:space="preserve">BV </t>
        </is>
      </c>
      <c r="S1120" t="n">
        <v>1</v>
      </c>
      <c r="T1120" t="n">
        <v>1</v>
      </c>
      <c r="U1120" t="inlineStr">
        <is>
          <t>2002-07-18</t>
        </is>
      </c>
      <c r="V1120" t="inlineStr">
        <is>
          <t>2002-07-18</t>
        </is>
      </c>
      <c r="W1120" t="inlineStr">
        <is>
          <t>1992-01-23</t>
        </is>
      </c>
      <c r="X1120" t="inlineStr">
        <is>
          <t>1992-01-23</t>
        </is>
      </c>
      <c r="Y1120" t="n">
        <v>83</v>
      </c>
      <c r="Z1120" t="n">
        <v>43</v>
      </c>
      <c r="AA1120" t="n">
        <v>44</v>
      </c>
      <c r="AB1120" t="n">
        <v>1</v>
      </c>
      <c r="AC1120" t="n">
        <v>1</v>
      </c>
      <c r="AD1120" t="n">
        <v>6</v>
      </c>
      <c r="AE1120" t="n">
        <v>6</v>
      </c>
      <c r="AF1120" t="n">
        <v>0</v>
      </c>
      <c r="AG1120" t="n">
        <v>0</v>
      </c>
      <c r="AH1120" t="n">
        <v>3</v>
      </c>
      <c r="AI1120" t="n">
        <v>3</v>
      </c>
      <c r="AJ1120" t="n">
        <v>4</v>
      </c>
      <c r="AK1120" t="n">
        <v>4</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HYPERLINK("https://creighton-primo.hosted.exlibrisgroup.com/primo-explore/search?tab=default_tab&amp;search_scope=EVERYTHING&amp;vid=01CRU&amp;lang=en_US&amp;offset=0&amp;query=any,contains,991000824499702656","Catalog Record")</f>
        <v/>
      </c>
      <c r="AT1120">
        <f>HYPERLINK("http://www.worldcat.org/oclc/13407654","WorldCat Record")</f>
        <v/>
      </c>
      <c r="AU1120" t="inlineStr">
        <is>
          <t>307798329:fre</t>
        </is>
      </c>
      <c r="AV1120" t="inlineStr">
        <is>
          <t>13407654</t>
        </is>
      </c>
      <c r="AW1120" t="inlineStr">
        <is>
          <t>991000824499702656</t>
        </is>
      </c>
      <c r="AX1120" t="inlineStr">
        <is>
          <t>991000824499702656</t>
        </is>
      </c>
      <c r="AY1120" t="inlineStr">
        <is>
          <t>2272599040002656</t>
        </is>
      </c>
      <c r="AZ1120" t="inlineStr">
        <is>
          <t>BOOK</t>
        </is>
      </c>
      <c r="BB1120" t="inlineStr">
        <is>
          <t>9782204022064</t>
        </is>
      </c>
      <c r="BC1120" t="inlineStr">
        <is>
          <t>32285000904952</t>
        </is>
      </c>
      <c r="BD1120" t="inlineStr">
        <is>
          <t>893884793</t>
        </is>
      </c>
    </row>
    <row r="1121">
      <c r="A1121" t="inlineStr">
        <is>
          <t>No</t>
        </is>
      </c>
      <c r="B1121" t="inlineStr">
        <is>
          <t>BV800 .G35 1969</t>
        </is>
      </c>
      <c r="C1121" t="inlineStr">
        <is>
          <t>0                      BV 0800000G  35          1969</t>
        </is>
      </c>
      <c r="D1121" t="inlineStr">
        <is>
          <t>The Jewish antecedents of the Christian sacraments / by F. Gavin.</t>
        </is>
      </c>
      <c r="F1121" t="inlineStr">
        <is>
          <t>No</t>
        </is>
      </c>
      <c r="G1121" t="inlineStr">
        <is>
          <t>1</t>
        </is>
      </c>
      <c r="H1121" t="inlineStr">
        <is>
          <t>No</t>
        </is>
      </c>
      <c r="I1121" t="inlineStr">
        <is>
          <t>No</t>
        </is>
      </c>
      <c r="J1121" t="inlineStr">
        <is>
          <t>0</t>
        </is>
      </c>
      <c r="K1121" t="inlineStr">
        <is>
          <t>Gavin, Frank (Frank Stanton Burns), 1890-1938.</t>
        </is>
      </c>
      <c r="L1121" t="inlineStr">
        <is>
          <t>New York, Ktav Pub. House, 1969.</t>
        </is>
      </c>
      <c r="M1121" t="inlineStr">
        <is>
          <t>1969</t>
        </is>
      </c>
      <c r="O1121" t="inlineStr">
        <is>
          <t>eng</t>
        </is>
      </c>
      <c r="P1121" t="inlineStr">
        <is>
          <t>nyu</t>
        </is>
      </c>
      <c r="R1121" t="inlineStr">
        <is>
          <t xml:space="preserve">BV </t>
        </is>
      </c>
      <c r="S1121" t="n">
        <v>4</v>
      </c>
      <c r="T1121" t="n">
        <v>4</v>
      </c>
      <c r="U1121" t="inlineStr">
        <is>
          <t>1999-08-04</t>
        </is>
      </c>
      <c r="V1121" t="inlineStr">
        <is>
          <t>1999-08-04</t>
        </is>
      </c>
      <c r="W1121" t="inlineStr">
        <is>
          <t>1990-06-08</t>
        </is>
      </c>
      <c r="X1121" t="inlineStr">
        <is>
          <t>1990-06-08</t>
        </is>
      </c>
      <c r="Y1121" t="n">
        <v>299</v>
      </c>
      <c r="Z1121" t="n">
        <v>263</v>
      </c>
      <c r="AA1121" t="n">
        <v>358</v>
      </c>
      <c r="AB1121" t="n">
        <v>2</v>
      </c>
      <c r="AC1121" t="n">
        <v>2</v>
      </c>
      <c r="AD1121" t="n">
        <v>17</v>
      </c>
      <c r="AE1121" t="n">
        <v>19</v>
      </c>
      <c r="AF1121" t="n">
        <v>6</v>
      </c>
      <c r="AG1121" t="n">
        <v>8</v>
      </c>
      <c r="AH1121" t="n">
        <v>3</v>
      </c>
      <c r="AI1121" t="n">
        <v>3</v>
      </c>
      <c r="AJ1121" t="n">
        <v>10</v>
      </c>
      <c r="AK1121" t="n">
        <v>10</v>
      </c>
      <c r="AL1121" t="n">
        <v>1</v>
      </c>
      <c r="AM1121" t="n">
        <v>1</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HYPERLINK("https://creighton-primo.hosted.exlibrisgroup.com/primo-explore/search?tab=default_tab&amp;search_scope=EVERYTHING&amp;vid=01CRU&amp;lang=en_US&amp;offset=0&amp;query=any,contains,991005434989702656","Catalog Record")</f>
        <v/>
      </c>
      <c r="AT1121">
        <f>HYPERLINK("http://www.worldcat.org/oclc/2698","WorldCat Record")</f>
        <v/>
      </c>
      <c r="AU1121" t="inlineStr">
        <is>
          <t>1125907:eng</t>
        </is>
      </c>
      <c r="AV1121" t="inlineStr">
        <is>
          <t>2698</t>
        </is>
      </c>
      <c r="AW1121" t="inlineStr">
        <is>
          <t>991005434989702656</t>
        </is>
      </c>
      <c r="AX1121" t="inlineStr">
        <is>
          <t>991005434989702656</t>
        </is>
      </c>
      <c r="AY1121" t="inlineStr">
        <is>
          <t>2262745160002656</t>
        </is>
      </c>
      <c r="AZ1121" t="inlineStr">
        <is>
          <t>BOOK</t>
        </is>
      </c>
      <c r="BC1121" t="inlineStr">
        <is>
          <t>32285000184480</t>
        </is>
      </c>
      <c r="BD1121" t="inlineStr">
        <is>
          <t>893508263</t>
        </is>
      </c>
    </row>
    <row r="1122">
      <c r="A1122" t="inlineStr">
        <is>
          <t>No</t>
        </is>
      </c>
      <c r="B1122" t="inlineStr">
        <is>
          <t>BV800 .G88 1981</t>
        </is>
      </c>
      <c r="C1122" t="inlineStr">
        <is>
          <t>0                      BV 0800000G  88          1981</t>
        </is>
      </c>
      <c r="D1122" t="inlineStr">
        <is>
          <t>The book of sacramental basics / Tad Guzie.</t>
        </is>
      </c>
      <c r="F1122" t="inlineStr">
        <is>
          <t>No</t>
        </is>
      </c>
      <c r="G1122" t="inlineStr">
        <is>
          <t>1</t>
        </is>
      </c>
      <c r="H1122" t="inlineStr">
        <is>
          <t>No</t>
        </is>
      </c>
      <c r="I1122" t="inlineStr">
        <is>
          <t>No</t>
        </is>
      </c>
      <c r="J1122" t="inlineStr">
        <is>
          <t>0</t>
        </is>
      </c>
      <c r="K1122" t="inlineStr">
        <is>
          <t>Guzie, Tad W.</t>
        </is>
      </c>
      <c r="L1122" t="inlineStr">
        <is>
          <t>New York : Paulist Press, c1981.</t>
        </is>
      </c>
      <c r="M1122" t="inlineStr">
        <is>
          <t>1981</t>
        </is>
      </c>
      <c r="O1122" t="inlineStr">
        <is>
          <t>eng</t>
        </is>
      </c>
      <c r="P1122" t="inlineStr">
        <is>
          <t>nyu</t>
        </is>
      </c>
      <c r="R1122" t="inlineStr">
        <is>
          <t xml:space="preserve">BV </t>
        </is>
      </c>
      <c r="S1122" t="n">
        <v>2</v>
      </c>
      <c r="T1122" t="n">
        <v>2</v>
      </c>
      <c r="U1122" t="inlineStr">
        <is>
          <t>2010-02-21</t>
        </is>
      </c>
      <c r="V1122" t="inlineStr">
        <is>
          <t>2010-02-21</t>
        </is>
      </c>
      <c r="W1122" t="inlineStr">
        <is>
          <t>2005-04-13</t>
        </is>
      </c>
      <c r="X1122" t="inlineStr">
        <is>
          <t>2005-04-13</t>
        </is>
      </c>
      <c r="Y1122" t="n">
        <v>390</v>
      </c>
      <c r="Z1122" t="n">
        <v>316</v>
      </c>
      <c r="AA1122" t="n">
        <v>329</v>
      </c>
      <c r="AB1122" t="n">
        <v>3</v>
      </c>
      <c r="AC1122" t="n">
        <v>3</v>
      </c>
      <c r="AD1122" t="n">
        <v>33</v>
      </c>
      <c r="AE1122" t="n">
        <v>34</v>
      </c>
      <c r="AF1122" t="n">
        <v>11</v>
      </c>
      <c r="AG1122" t="n">
        <v>12</v>
      </c>
      <c r="AH1122" t="n">
        <v>9</v>
      </c>
      <c r="AI1122" t="n">
        <v>9</v>
      </c>
      <c r="AJ1122" t="n">
        <v>24</v>
      </c>
      <c r="AK1122" t="n">
        <v>25</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HYPERLINK("https://creighton-primo.hosted.exlibrisgroup.com/primo-explore/search?tab=default_tab&amp;search_scope=EVERYTHING&amp;vid=01CRU&amp;lang=en_US&amp;offset=0&amp;query=any,contains,991004529519702656","Catalog Record")</f>
        <v/>
      </c>
      <c r="AT1122">
        <f>HYPERLINK("http://www.worldcat.org/oclc/8108538","WorldCat Record")</f>
        <v/>
      </c>
      <c r="AU1122" t="inlineStr">
        <is>
          <t>579492:eng</t>
        </is>
      </c>
      <c r="AV1122" t="inlineStr">
        <is>
          <t>8108538</t>
        </is>
      </c>
      <c r="AW1122" t="inlineStr">
        <is>
          <t>991004529519702656</t>
        </is>
      </c>
      <c r="AX1122" t="inlineStr">
        <is>
          <t>991004529519702656</t>
        </is>
      </c>
      <c r="AY1122" t="inlineStr">
        <is>
          <t>2264154210002656</t>
        </is>
      </c>
      <c r="AZ1122" t="inlineStr">
        <is>
          <t>BOOK</t>
        </is>
      </c>
      <c r="BB1122" t="inlineStr">
        <is>
          <t>9780809124114</t>
        </is>
      </c>
      <c r="BC1122" t="inlineStr">
        <is>
          <t>32285005030811</t>
        </is>
      </c>
      <c r="BD1122" t="inlineStr">
        <is>
          <t>893700353</t>
        </is>
      </c>
    </row>
    <row r="1123">
      <c r="A1123" t="inlineStr">
        <is>
          <t>No</t>
        </is>
      </c>
      <c r="B1123" t="inlineStr">
        <is>
          <t>BV800 .H64</t>
        </is>
      </c>
      <c r="C1123" t="inlineStr">
        <is>
          <t>0                      BV 0800000H  64</t>
        </is>
      </c>
      <c r="D1123" t="inlineStr">
        <is>
          <t>The covenant sealed : the development of Puritan sacramental theology in old and New England, 1570-1720 / E. Brooks Holifield.</t>
        </is>
      </c>
      <c r="F1123" t="inlineStr">
        <is>
          <t>No</t>
        </is>
      </c>
      <c r="G1123" t="inlineStr">
        <is>
          <t>1</t>
        </is>
      </c>
      <c r="H1123" t="inlineStr">
        <is>
          <t>No</t>
        </is>
      </c>
      <c r="I1123" t="inlineStr">
        <is>
          <t>No</t>
        </is>
      </c>
      <c r="J1123" t="inlineStr">
        <is>
          <t>0</t>
        </is>
      </c>
      <c r="K1123" t="inlineStr">
        <is>
          <t>Holifield, E. Brooks.</t>
        </is>
      </c>
      <c r="L1123" t="inlineStr">
        <is>
          <t>New Haven : Yale University Press, 1974.</t>
        </is>
      </c>
      <c r="M1123" t="inlineStr">
        <is>
          <t>1974</t>
        </is>
      </c>
      <c r="O1123" t="inlineStr">
        <is>
          <t>eng</t>
        </is>
      </c>
      <c r="P1123" t="inlineStr">
        <is>
          <t>ctu</t>
        </is>
      </c>
      <c r="R1123" t="inlineStr">
        <is>
          <t xml:space="preserve">BV </t>
        </is>
      </c>
      <c r="S1123" t="n">
        <v>2</v>
      </c>
      <c r="T1123" t="n">
        <v>2</v>
      </c>
      <c r="U1123" t="inlineStr">
        <is>
          <t>2010-02-18</t>
        </is>
      </c>
      <c r="V1123" t="inlineStr">
        <is>
          <t>2010-02-18</t>
        </is>
      </c>
      <c r="W1123" t="inlineStr">
        <is>
          <t>1992-01-23</t>
        </is>
      </c>
      <c r="X1123" t="inlineStr">
        <is>
          <t>1992-01-23</t>
        </is>
      </c>
      <c r="Y1123" t="n">
        <v>667</v>
      </c>
      <c r="Z1123" t="n">
        <v>567</v>
      </c>
      <c r="AA1123" t="n">
        <v>591</v>
      </c>
      <c r="AB1123" t="n">
        <v>5</v>
      </c>
      <c r="AC1123" t="n">
        <v>5</v>
      </c>
      <c r="AD1123" t="n">
        <v>29</v>
      </c>
      <c r="AE1123" t="n">
        <v>32</v>
      </c>
      <c r="AF1123" t="n">
        <v>10</v>
      </c>
      <c r="AG1123" t="n">
        <v>11</v>
      </c>
      <c r="AH1123" t="n">
        <v>9</v>
      </c>
      <c r="AI1123" t="n">
        <v>10</v>
      </c>
      <c r="AJ1123" t="n">
        <v>15</v>
      </c>
      <c r="AK1123" t="n">
        <v>17</v>
      </c>
      <c r="AL1123" t="n">
        <v>4</v>
      </c>
      <c r="AM1123" t="n">
        <v>4</v>
      </c>
      <c r="AN1123" t="n">
        <v>0</v>
      </c>
      <c r="AO1123" t="n">
        <v>0</v>
      </c>
      <c r="AP1123" t="inlineStr">
        <is>
          <t>No</t>
        </is>
      </c>
      <c r="AQ1123" t="inlineStr">
        <is>
          <t>Yes</t>
        </is>
      </c>
      <c r="AR1123">
        <f>HYPERLINK("http://catalog.hathitrust.org/Record/001413520","HathiTrust Record")</f>
        <v/>
      </c>
      <c r="AS1123">
        <f>HYPERLINK("https://creighton-primo.hosted.exlibrisgroup.com/primo-explore/search?tab=default_tab&amp;search_scope=EVERYTHING&amp;vid=01CRU&amp;lang=en_US&amp;offset=0&amp;query=any,contains,991003529849702656","Catalog Record")</f>
        <v/>
      </c>
      <c r="AT1123">
        <f>HYPERLINK("http://www.worldcat.org/oclc/1093255","WorldCat Record")</f>
        <v/>
      </c>
      <c r="AU1123" t="inlineStr">
        <is>
          <t>1043663613:eng</t>
        </is>
      </c>
      <c r="AV1123" t="inlineStr">
        <is>
          <t>1093255</t>
        </is>
      </c>
      <c r="AW1123" t="inlineStr">
        <is>
          <t>991003529849702656</t>
        </is>
      </c>
      <c r="AX1123" t="inlineStr">
        <is>
          <t>991003529849702656</t>
        </is>
      </c>
      <c r="AY1123" t="inlineStr">
        <is>
          <t>2264707350002656</t>
        </is>
      </c>
      <c r="AZ1123" t="inlineStr">
        <is>
          <t>BOOK</t>
        </is>
      </c>
      <c r="BB1123" t="inlineStr">
        <is>
          <t>9780300017335</t>
        </is>
      </c>
      <c r="BC1123" t="inlineStr">
        <is>
          <t>32285000904960</t>
        </is>
      </c>
      <c r="BD1123" t="inlineStr">
        <is>
          <t>893774844</t>
        </is>
      </c>
    </row>
    <row r="1124">
      <c r="A1124" t="inlineStr">
        <is>
          <t>No</t>
        </is>
      </c>
      <c r="B1124" t="inlineStr">
        <is>
          <t>BV800 .K77 1976</t>
        </is>
      </c>
      <c r="C1124" t="inlineStr">
        <is>
          <t>0                      BV 0800000K  77          1976</t>
        </is>
      </c>
      <c r="D1124" t="inlineStr">
        <is>
          <t>The sacramental mysteries : a Byzantine approach / Casimir A. Kucharek.</t>
        </is>
      </c>
      <c r="F1124" t="inlineStr">
        <is>
          <t>No</t>
        </is>
      </c>
      <c r="G1124" t="inlineStr">
        <is>
          <t>1</t>
        </is>
      </c>
      <c r="H1124" t="inlineStr">
        <is>
          <t>No</t>
        </is>
      </c>
      <c r="I1124" t="inlineStr">
        <is>
          <t>No</t>
        </is>
      </c>
      <c r="J1124" t="inlineStr">
        <is>
          <t>0</t>
        </is>
      </c>
      <c r="K1124" t="inlineStr">
        <is>
          <t>Kucharek, Casimir A.</t>
        </is>
      </c>
      <c r="L1124" t="inlineStr">
        <is>
          <t>Allendale, N.J. : Alleluia Press, c1976.</t>
        </is>
      </c>
      <c r="M1124" t="inlineStr">
        <is>
          <t>1976</t>
        </is>
      </c>
      <c r="O1124" t="inlineStr">
        <is>
          <t>eng</t>
        </is>
      </c>
      <c r="P1124" t="inlineStr">
        <is>
          <t>nju</t>
        </is>
      </c>
      <c r="R1124" t="inlineStr">
        <is>
          <t xml:space="preserve">BV </t>
        </is>
      </c>
      <c r="S1124" t="n">
        <v>3</v>
      </c>
      <c r="T1124" t="n">
        <v>3</v>
      </c>
      <c r="U1124" t="inlineStr">
        <is>
          <t>2008-04-12</t>
        </is>
      </c>
      <c r="V1124" t="inlineStr">
        <is>
          <t>2008-04-12</t>
        </is>
      </c>
      <c r="W1124" t="inlineStr">
        <is>
          <t>1992-01-23</t>
        </is>
      </c>
      <c r="X1124" t="inlineStr">
        <is>
          <t>1992-01-23</t>
        </is>
      </c>
      <c r="Y1124" t="n">
        <v>156</v>
      </c>
      <c r="Z1124" t="n">
        <v>121</v>
      </c>
      <c r="AA1124" t="n">
        <v>126</v>
      </c>
      <c r="AB1124" t="n">
        <v>2</v>
      </c>
      <c r="AC1124" t="n">
        <v>2</v>
      </c>
      <c r="AD1124" t="n">
        <v>12</v>
      </c>
      <c r="AE1124" t="n">
        <v>12</v>
      </c>
      <c r="AF1124" t="n">
        <v>2</v>
      </c>
      <c r="AG1124" t="n">
        <v>2</v>
      </c>
      <c r="AH1124" t="n">
        <v>3</v>
      </c>
      <c r="AI1124" t="n">
        <v>3</v>
      </c>
      <c r="AJ1124" t="n">
        <v>8</v>
      </c>
      <c r="AK1124" t="n">
        <v>8</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HYPERLINK("https://creighton-primo.hosted.exlibrisgroup.com/primo-explore/search?tab=default_tab&amp;search_scope=EVERYTHING&amp;vid=01CRU&amp;lang=en_US&amp;offset=0&amp;query=any,contains,991004240659702656","Catalog Record")</f>
        <v/>
      </c>
      <c r="AT1124">
        <f>HYPERLINK("http://www.worldcat.org/oclc/2783193","WorldCat Record")</f>
        <v/>
      </c>
      <c r="AU1124" t="inlineStr">
        <is>
          <t>366202736:eng</t>
        </is>
      </c>
      <c r="AV1124" t="inlineStr">
        <is>
          <t>2783193</t>
        </is>
      </c>
      <c r="AW1124" t="inlineStr">
        <is>
          <t>991004240659702656</t>
        </is>
      </c>
      <c r="AX1124" t="inlineStr">
        <is>
          <t>991004240659702656</t>
        </is>
      </c>
      <c r="AY1124" t="inlineStr">
        <is>
          <t>2264700980002656</t>
        </is>
      </c>
      <c r="AZ1124" t="inlineStr">
        <is>
          <t>BOOK</t>
        </is>
      </c>
      <c r="BB1124" t="inlineStr">
        <is>
          <t>9780911726060</t>
        </is>
      </c>
      <c r="BC1124" t="inlineStr">
        <is>
          <t>32285000904986</t>
        </is>
      </c>
      <c r="BD1124" t="inlineStr">
        <is>
          <t>893235239</t>
        </is>
      </c>
    </row>
    <row r="1125">
      <c r="A1125" t="inlineStr">
        <is>
          <t>No</t>
        </is>
      </c>
      <c r="B1125" t="inlineStr">
        <is>
          <t>BV800 .O46 1983</t>
        </is>
      </c>
      <c r="C1125" t="inlineStr">
        <is>
          <t>0                      BV 0800000O  46          1983</t>
        </is>
      </c>
      <c r="D1125" t="inlineStr">
        <is>
          <t>Sacramental realism : a general theory of the sacraments / by Colman E. O'Neill.</t>
        </is>
      </c>
      <c r="F1125" t="inlineStr">
        <is>
          <t>No</t>
        </is>
      </c>
      <c r="G1125" t="inlineStr">
        <is>
          <t>1</t>
        </is>
      </c>
      <c r="H1125" t="inlineStr">
        <is>
          <t>No</t>
        </is>
      </c>
      <c r="I1125" t="inlineStr">
        <is>
          <t>No</t>
        </is>
      </c>
      <c r="J1125" t="inlineStr">
        <is>
          <t>0</t>
        </is>
      </c>
      <c r="K1125" t="inlineStr">
        <is>
          <t>O'Neill, Colman E.</t>
        </is>
      </c>
      <c r="L1125" t="inlineStr">
        <is>
          <t>Wilmington, Del. : M. Glazier, 1983.</t>
        </is>
      </c>
      <c r="M1125" t="inlineStr">
        <is>
          <t>1983</t>
        </is>
      </c>
      <c r="O1125" t="inlineStr">
        <is>
          <t>eng</t>
        </is>
      </c>
      <c r="P1125" t="inlineStr">
        <is>
          <t>deu</t>
        </is>
      </c>
      <c r="Q1125" t="inlineStr">
        <is>
          <t>Theology and life series ; 2</t>
        </is>
      </c>
      <c r="R1125" t="inlineStr">
        <is>
          <t xml:space="preserve">BV </t>
        </is>
      </c>
      <c r="S1125" t="n">
        <v>7</v>
      </c>
      <c r="T1125" t="n">
        <v>7</v>
      </c>
      <c r="U1125" t="inlineStr">
        <is>
          <t>2003-11-05</t>
        </is>
      </c>
      <c r="V1125" t="inlineStr">
        <is>
          <t>2003-11-05</t>
        </is>
      </c>
      <c r="W1125" t="inlineStr">
        <is>
          <t>1992-01-23</t>
        </is>
      </c>
      <c r="X1125" t="inlineStr">
        <is>
          <t>1992-01-23</t>
        </is>
      </c>
      <c r="Y1125" t="n">
        <v>226</v>
      </c>
      <c r="Z1125" t="n">
        <v>175</v>
      </c>
      <c r="AA1125" t="n">
        <v>185</v>
      </c>
      <c r="AB1125" t="n">
        <v>1</v>
      </c>
      <c r="AC1125" t="n">
        <v>1</v>
      </c>
      <c r="AD1125" t="n">
        <v>27</v>
      </c>
      <c r="AE1125" t="n">
        <v>28</v>
      </c>
      <c r="AF1125" t="n">
        <v>10</v>
      </c>
      <c r="AG1125" t="n">
        <v>10</v>
      </c>
      <c r="AH1125" t="n">
        <v>6</v>
      </c>
      <c r="AI1125" t="n">
        <v>7</v>
      </c>
      <c r="AJ1125" t="n">
        <v>22</v>
      </c>
      <c r="AK1125" t="n">
        <v>22</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HYPERLINK("https://creighton-primo.hosted.exlibrisgroup.com/primo-explore/search?tab=default_tab&amp;search_scope=EVERYTHING&amp;vid=01CRU&amp;lang=en_US&amp;offset=0&amp;query=any,contains,991000255999702656","Catalog Record")</f>
        <v/>
      </c>
      <c r="AT1125">
        <f>HYPERLINK("http://www.worldcat.org/oclc/9771339","WorldCat Record")</f>
        <v/>
      </c>
      <c r="AU1125" t="inlineStr">
        <is>
          <t>15667179:eng</t>
        </is>
      </c>
      <c r="AV1125" t="inlineStr">
        <is>
          <t>9771339</t>
        </is>
      </c>
      <c r="AW1125" t="inlineStr">
        <is>
          <t>991000255999702656</t>
        </is>
      </c>
      <c r="AX1125" t="inlineStr">
        <is>
          <t>991000255999702656</t>
        </is>
      </c>
      <c r="AY1125" t="inlineStr">
        <is>
          <t>2258371960002656</t>
        </is>
      </c>
      <c r="AZ1125" t="inlineStr">
        <is>
          <t>BOOK</t>
        </is>
      </c>
      <c r="BB1125" t="inlineStr">
        <is>
          <t>9780894532979</t>
        </is>
      </c>
      <c r="BC1125" t="inlineStr">
        <is>
          <t>32285000904994</t>
        </is>
      </c>
      <c r="BD1125" t="inlineStr">
        <is>
          <t>893425558</t>
        </is>
      </c>
    </row>
    <row r="1126">
      <c r="A1126" t="inlineStr">
        <is>
          <t>No</t>
        </is>
      </c>
      <c r="B1126" t="inlineStr">
        <is>
          <t>BV800 .P38 1970</t>
        </is>
      </c>
      <c r="C1126" t="inlineStr">
        <is>
          <t>0                      BV 0800000P  38          1970</t>
        </is>
      </c>
      <c r="D1126" t="inlineStr">
        <is>
          <t>Erasmus, his theology of the sacraments / [by] John B. Payne.</t>
        </is>
      </c>
      <c r="F1126" t="inlineStr">
        <is>
          <t>No</t>
        </is>
      </c>
      <c r="G1126" t="inlineStr">
        <is>
          <t>1</t>
        </is>
      </c>
      <c r="H1126" t="inlineStr">
        <is>
          <t>No</t>
        </is>
      </c>
      <c r="I1126" t="inlineStr">
        <is>
          <t>No</t>
        </is>
      </c>
      <c r="J1126" t="inlineStr">
        <is>
          <t>0</t>
        </is>
      </c>
      <c r="K1126" t="inlineStr">
        <is>
          <t>Payne, John B. (John Barton), 1931-2016.</t>
        </is>
      </c>
      <c r="L1126" t="inlineStr">
        <is>
          <t>[Richmond, Va., John Knox Press, 1970]</t>
        </is>
      </c>
      <c r="M1126" t="inlineStr">
        <is>
          <t>1970</t>
        </is>
      </c>
      <c r="O1126" t="inlineStr">
        <is>
          <t>eng</t>
        </is>
      </c>
      <c r="P1126" t="inlineStr">
        <is>
          <t>vau</t>
        </is>
      </c>
      <c r="Q1126" t="inlineStr">
        <is>
          <t>Research in theology</t>
        </is>
      </c>
      <c r="R1126" t="inlineStr">
        <is>
          <t xml:space="preserve">BV </t>
        </is>
      </c>
      <c r="S1126" t="n">
        <v>5</v>
      </c>
      <c r="T1126" t="n">
        <v>5</v>
      </c>
      <c r="U1126" t="inlineStr">
        <is>
          <t>2008-04-12</t>
        </is>
      </c>
      <c r="V1126" t="inlineStr">
        <is>
          <t>2008-04-12</t>
        </is>
      </c>
      <c r="W1126" t="inlineStr">
        <is>
          <t>1992-01-23</t>
        </is>
      </c>
      <c r="X1126" t="inlineStr">
        <is>
          <t>1992-01-23</t>
        </is>
      </c>
      <c r="Y1126" t="n">
        <v>451</v>
      </c>
      <c r="Z1126" t="n">
        <v>398</v>
      </c>
      <c r="AA1126" t="n">
        <v>412</v>
      </c>
      <c r="AB1126" t="n">
        <v>6</v>
      </c>
      <c r="AC1126" t="n">
        <v>6</v>
      </c>
      <c r="AD1126" t="n">
        <v>26</v>
      </c>
      <c r="AE1126" t="n">
        <v>27</v>
      </c>
      <c r="AF1126" t="n">
        <v>10</v>
      </c>
      <c r="AG1126" t="n">
        <v>11</v>
      </c>
      <c r="AH1126" t="n">
        <v>3</v>
      </c>
      <c r="AI1126" t="n">
        <v>3</v>
      </c>
      <c r="AJ1126" t="n">
        <v>12</v>
      </c>
      <c r="AK1126" t="n">
        <v>12</v>
      </c>
      <c r="AL1126" t="n">
        <v>5</v>
      </c>
      <c r="AM1126" t="n">
        <v>5</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HYPERLINK("https://creighton-primo.hosted.exlibrisgroup.com/primo-explore/search?tab=default_tab&amp;search_scope=EVERYTHING&amp;vid=01CRU&amp;lang=en_US&amp;offset=0&amp;query=any,contains,991000700209702656","Catalog Record")</f>
        <v/>
      </c>
      <c r="AT1126">
        <f>HYPERLINK("http://www.worldcat.org/oclc/124212","WorldCat Record")</f>
        <v/>
      </c>
      <c r="AU1126" t="inlineStr">
        <is>
          <t>1248123:eng</t>
        </is>
      </c>
      <c r="AV1126" t="inlineStr">
        <is>
          <t>124212</t>
        </is>
      </c>
      <c r="AW1126" t="inlineStr">
        <is>
          <t>991000700209702656</t>
        </is>
      </c>
      <c r="AX1126" t="inlineStr">
        <is>
          <t>991000700209702656</t>
        </is>
      </c>
      <c r="AY1126" t="inlineStr">
        <is>
          <t>2259715490002656</t>
        </is>
      </c>
      <c r="AZ1126" t="inlineStr">
        <is>
          <t>BOOK</t>
        </is>
      </c>
      <c r="BB1126" t="inlineStr">
        <is>
          <t>9780804205535</t>
        </is>
      </c>
      <c r="BC1126" t="inlineStr">
        <is>
          <t>32285000905009</t>
        </is>
      </c>
      <c r="BD1126" t="inlineStr">
        <is>
          <t>893790780</t>
        </is>
      </c>
    </row>
    <row r="1127">
      <c r="A1127" t="inlineStr">
        <is>
          <t>No</t>
        </is>
      </c>
      <c r="B1127" t="inlineStr">
        <is>
          <t>BV800.Z58 S23 1992</t>
        </is>
      </c>
      <c r="C1127" t="inlineStr">
        <is>
          <t>0                      BV 0800000Z  58                 S  23          1992</t>
        </is>
      </c>
      <c r="D1127" t="inlineStr">
        <is>
          <t>Sacramenta : bibliographia internationalis / Maksimilijan Žitnik.</t>
        </is>
      </c>
      <c r="E1127" t="inlineStr">
        <is>
          <t>V.1</t>
        </is>
      </c>
      <c r="F1127" t="inlineStr">
        <is>
          <t>Yes</t>
        </is>
      </c>
      <c r="G1127" t="inlineStr">
        <is>
          <t>1</t>
        </is>
      </c>
      <c r="H1127" t="inlineStr">
        <is>
          <t>No</t>
        </is>
      </c>
      <c r="I1127" t="inlineStr">
        <is>
          <t>No</t>
        </is>
      </c>
      <c r="J1127" t="inlineStr">
        <is>
          <t>0</t>
        </is>
      </c>
      <c r="K1127" t="inlineStr">
        <is>
          <t>Žitnik, Maksimilijan.</t>
        </is>
      </c>
      <c r="L1127" t="inlineStr">
        <is>
          <t>Roma : Editrice Pontificia università gregoriana, 1992.</t>
        </is>
      </c>
      <c r="M1127" t="inlineStr">
        <is>
          <t>1992</t>
        </is>
      </c>
      <c r="O1127" t="inlineStr">
        <is>
          <t>lat</t>
        </is>
      </c>
      <c r="P1127" t="inlineStr">
        <is>
          <t xml:space="preserve">it </t>
        </is>
      </c>
      <c r="R1127" t="inlineStr">
        <is>
          <t xml:space="preserve">BV </t>
        </is>
      </c>
      <c r="S1127" t="n">
        <v>0</v>
      </c>
      <c r="T1127" t="n">
        <v>1</v>
      </c>
      <c r="V1127" t="inlineStr">
        <is>
          <t>1995-03-08</t>
        </is>
      </c>
      <c r="W1127" t="inlineStr">
        <is>
          <t>1994-12-21</t>
        </is>
      </c>
      <c r="X1127" t="inlineStr">
        <is>
          <t>1994-12-21</t>
        </is>
      </c>
      <c r="Y1127" t="n">
        <v>74</v>
      </c>
      <c r="Z1127" t="n">
        <v>57</v>
      </c>
      <c r="AA1127" t="n">
        <v>57</v>
      </c>
      <c r="AB1127" t="n">
        <v>1</v>
      </c>
      <c r="AC1127" t="n">
        <v>1</v>
      </c>
      <c r="AD1127" t="n">
        <v>10</v>
      </c>
      <c r="AE1127" t="n">
        <v>10</v>
      </c>
      <c r="AF1127" t="n">
        <v>2</v>
      </c>
      <c r="AG1127" t="n">
        <v>2</v>
      </c>
      <c r="AH1127" t="n">
        <v>2</v>
      </c>
      <c r="AI1127" t="n">
        <v>2</v>
      </c>
      <c r="AJ1127" t="n">
        <v>8</v>
      </c>
      <c r="AK1127" t="n">
        <v>8</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HYPERLINK("https://creighton-primo.hosted.exlibrisgroup.com/primo-explore/search?tab=default_tab&amp;search_scope=EVERYTHING&amp;vid=01CRU&amp;lang=en_US&amp;offset=0&amp;query=any,contains,991002133369702656","Catalog Record")</f>
        <v/>
      </c>
      <c r="AT1127">
        <f>HYPERLINK("http://www.worldcat.org/oclc/27342197","WorldCat Record")</f>
        <v/>
      </c>
      <c r="AU1127" t="inlineStr">
        <is>
          <t>7594265:lat</t>
        </is>
      </c>
      <c r="AV1127" t="inlineStr">
        <is>
          <t>27342197</t>
        </is>
      </c>
      <c r="AW1127" t="inlineStr">
        <is>
          <t>991002133369702656</t>
        </is>
      </c>
      <c r="AX1127" t="inlineStr">
        <is>
          <t>991002133369702656</t>
        </is>
      </c>
      <c r="AY1127" t="inlineStr">
        <is>
          <t>2267719020002656</t>
        </is>
      </c>
      <c r="AZ1127" t="inlineStr">
        <is>
          <t>BOOK</t>
        </is>
      </c>
      <c r="BB1127" t="inlineStr">
        <is>
          <t>9788876526411</t>
        </is>
      </c>
      <c r="BC1127" t="inlineStr">
        <is>
          <t>32285001975506</t>
        </is>
      </c>
      <c r="BD1127" t="inlineStr">
        <is>
          <t>893316426</t>
        </is>
      </c>
    </row>
    <row r="1128">
      <c r="A1128" t="inlineStr">
        <is>
          <t>No</t>
        </is>
      </c>
      <c r="B1128" t="inlineStr">
        <is>
          <t>BV800.Z58 S23 1992</t>
        </is>
      </c>
      <c r="C1128" t="inlineStr">
        <is>
          <t>0                      BV 0800000Z  58                 S  23          1992</t>
        </is>
      </c>
      <c r="D1128" t="inlineStr">
        <is>
          <t>Sacramenta : bibliographia internationalis / Maksimilijan Žitnik.</t>
        </is>
      </c>
      <c r="E1128" t="inlineStr">
        <is>
          <t>V.3</t>
        </is>
      </c>
      <c r="F1128" t="inlineStr">
        <is>
          <t>Yes</t>
        </is>
      </c>
      <c r="G1128" t="inlineStr">
        <is>
          <t>1</t>
        </is>
      </c>
      <c r="H1128" t="inlineStr">
        <is>
          <t>No</t>
        </is>
      </c>
      <c r="I1128" t="inlineStr">
        <is>
          <t>No</t>
        </is>
      </c>
      <c r="J1128" t="inlineStr">
        <is>
          <t>0</t>
        </is>
      </c>
      <c r="K1128" t="inlineStr">
        <is>
          <t>Žitnik, Maksimilijan.</t>
        </is>
      </c>
      <c r="L1128" t="inlineStr">
        <is>
          <t>Roma : Editrice Pontificia università gregoriana, 1992.</t>
        </is>
      </c>
      <c r="M1128" t="inlineStr">
        <is>
          <t>1992</t>
        </is>
      </c>
      <c r="O1128" t="inlineStr">
        <is>
          <t>lat</t>
        </is>
      </c>
      <c r="P1128" t="inlineStr">
        <is>
          <t xml:space="preserve">it </t>
        </is>
      </c>
      <c r="R1128" t="inlineStr">
        <is>
          <t xml:space="preserve">BV </t>
        </is>
      </c>
      <c r="S1128" t="n">
        <v>0</v>
      </c>
      <c r="T1128" t="n">
        <v>1</v>
      </c>
      <c r="V1128" t="inlineStr">
        <is>
          <t>1995-03-08</t>
        </is>
      </c>
      <c r="W1128" t="inlineStr">
        <is>
          <t>1994-12-21</t>
        </is>
      </c>
      <c r="X1128" t="inlineStr">
        <is>
          <t>1994-12-21</t>
        </is>
      </c>
      <c r="Y1128" t="n">
        <v>74</v>
      </c>
      <c r="Z1128" t="n">
        <v>57</v>
      </c>
      <c r="AA1128" t="n">
        <v>57</v>
      </c>
      <c r="AB1128" t="n">
        <v>1</v>
      </c>
      <c r="AC1128" t="n">
        <v>1</v>
      </c>
      <c r="AD1128" t="n">
        <v>10</v>
      </c>
      <c r="AE1128" t="n">
        <v>10</v>
      </c>
      <c r="AF1128" t="n">
        <v>2</v>
      </c>
      <c r="AG1128" t="n">
        <v>2</v>
      </c>
      <c r="AH1128" t="n">
        <v>2</v>
      </c>
      <c r="AI1128" t="n">
        <v>2</v>
      </c>
      <c r="AJ1128" t="n">
        <v>8</v>
      </c>
      <c r="AK1128" t="n">
        <v>8</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HYPERLINK("https://creighton-primo.hosted.exlibrisgroup.com/primo-explore/search?tab=default_tab&amp;search_scope=EVERYTHING&amp;vid=01CRU&amp;lang=en_US&amp;offset=0&amp;query=any,contains,991002133369702656","Catalog Record")</f>
        <v/>
      </c>
      <c r="AT1128">
        <f>HYPERLINK("http://www.worldcat.org/oclc/27342197","WorldCat Record")</f>
        <v/>
      </c>
      <c r="AU1128" t="inlineStr">
        <is>
          <t>7594265:lat</t>
        </is>
      </c>
      <c r="AV1128" t="inlineStr">
        <is>
          <t>27342197</t>
        </is>
      </c>
      <c r="AW1128" t="inlineStr">
        <is>
          <t>991002133369702656</t>
        </is>
      </c>
      <c r="AX1128" t="inlineStr">
        <is>
          <t>991002133369702656</t>
        </is>
      </c>
      <c r="AY1128" t="inlineStr">
        <is>
          <t>2267719020002656</t>
        </is>
      </c>
      <c r="AZ1128" t="inlineStr">
        <is>
          <t>BOOK</t>
        </is>
      </c>
      <c r="BB1128" t="inlineStr">
        <is>
          <t>9788876526411</t>
        </is>
      </c>
      <c r="BC1128" t="inlineStr">
        <is>
          <t>32285001975522</t>
        </is>
      </c>
      <c r="BD1128" t="inlineStr">
        <is>
          <t>893328730</t>
        </is>
      </c>
    </row>
    <row r="1129">
      <c r="A1129" t="inlineStr">
        <is>
          <t>No</t>
        </is>
      </c>
      <c r="B1129" t="inlineStr">
        <is>
          <t>BV800.Z58 S23 1992</t>
        </is>
      </c>
      <c r="C1129" t="inlineStr">
        <is>
          <t>0                      BV 0800000Z  58                 S  23          1992</t>
        </is>
      </c>
      <c r="D1129" t="inlineStr">
        <is>
          <t>Sacramenta : bibliographia internationalis / Maksimilijan Žitnik.</t>
        </is>
      </c>
      <c r="E1129" t="inlineStr">
        <is>
          <t>V.4</t>
        </is>
      </c>
      <c r="F1129" t="inlineStr">
        <is>
          <t>Yes</t>
        </is>
      </c>
      <c r="G1129" t="inlineStr">
        <is>
          <t>1</t>
        </is>
      </c>
      <c r="H1129" t="inlineStr">
        <is>
          <t>No</t>
        </is>
      </c>
      <c r="I1129" t="inlineStr">
        <is>
          <t>No</t>
        </is>
      </c>
      <c r="J1129" t="inlineStr">
        <is>
          <t>0</t>
        </is>
      </c>
      <c r="K1129" t="inlineStr">
        <is>
          <t>Žitnik, Maksimilijan.</t>
        </is>
      </c>
      <c r="L1129" t="inlineStr">
        <is>
          <t>Roma : Editrice Pontificia università gregoriana, 1992.</t>
        </is>
      </c>
      <c r="M1129" t="inlineStr">
        <is>
          <t>1992</t>
        </is>
      </c>
      <c r="O1129" t="inlineStr">
        <is>
          <t>lat</t>
        </is>
      </c>
      <c r="P1129" t="inlineStr">
        <is>
          <t xml:space="preserve">it </t>
        </is>
      </c>
      <c r="R1129" t="inlineStr">
        <is>
          <t xml:space="preserve">BV </t>
        </is>
      </c>
      <c r="S1129" t="n">
        <v>0</v>
      </c>
      <c r="T1129" t="n">
        <v>1</v>
      </c>
      <c r="V1129" t="inlineStr">
        <is>
          <t>1995-03-08</t>
        </is>
      </c>
      <c r="W1129" t="inlineStr">
        <is>
          <t>1994-12-21</t>
        </is>
      </c>
      <c r="X1129" t="inlineStr">
        <is>
          <t>1994-12-21</t>
        </is>
      </c>
      <c r="Y1129" t="n">
        <v>74</v>
      </c>
      <c r="Z1129" t="n">
        <v>57</v>
      </c>
      <c r="AA1129" t="n">
        <v>57</v>
      </c>
      <c r="AB1129" t="n">
        <v>1</v>
      </c>
      <c r="AC1129" t="n">
        <v>1</v>
      </c>
      <c r="AD1129" t="n">
        <v>10</v>
      </c>
      <c r="AE1129" t="n">
        <v>10</v>
      </c>
      <c r="AF1129" t="n">
        <v>2</v>
      </c>
      <c r="AG1129" t="n">
        <v>2</v>
      </c>
      <c r="AH1129" t="n">
        <v>2</v>
      </c>
      <c r="AI1129" t="n">
        <v>2</v>
      </c>
      <c r="AJ1129" t="n">
        <v>8</v>
      </c>
      <c r="AK1129" t="n">
        <v>8</v>
      </c>
      <c r="AL1129" t="n">
        <v>0</v>
      </c>
      <c r="AM1129" t="n">
        <v>0</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HYPERLINK("https://creighton-primo.hosted.exlibrisgroup.com/primo-explore/search?tab=default_tab&amp;search_scope=EVERYTHING&amp;vid=01CRU&amp;lang=en_US&amp;offset=0&amp;query=any,contains,991002133369702656","Catalog Record")</f>
        <v/>
      </c>
      <c r="AT1129">
        <f>HYPERLINK("http://www.worldcat.org/oclc/27342197","WorldCat Record")</f>
        <v/>
      </c>
      <c r="AU1129" t="inlineStr">
        <is>
          <t>7594265:lat</t>
        </is>
      </c>
      <c r="AV1129" t="inlineStr">
        <is>
          <t>27342197</t>
        </is>
      </c>
      <c r="AW1129" t="inlineStr">
        <is>
          <t>991002133369702656</t>
        </is>
      </c>
      <c r="AX1129" t="inlineStr">
        <is>
          <t>991002133369702656</t>
        </is>
      </c>
      <c r="AY1129" t="inlineStr">
        <is>
          <t>2267719020002656</t>
        </is>
      </c>
      <c r="AZ1129" t="inlineStr">
        <is>
          <t>BOOK</t>
        </is>
      </c>
      <c r="BB1129" t="inlineStr">
        <is>
          <t>9788876526411</t>
        </is>
      </c>
      <c r="BC1129" t="inlineStr">
        <is>
          <t>32285001975530</t>
        </is>
      </c>
      <c r="BD1129" t="inlineStr">
        <is>
          <t>893328732</t>
        </is>
      </c>
    </row>
    <row r="1130">
      <c r="A1130" t="inlineStr">
        <is>
          <t>No</t>
        </is>
      </c>
      <c r="B1130" t="inlineStr">
        <is>
          <t>BV800.Z58 S23 1992</t>
        </is>
      </c>
      <c r="C1130" t="inlineStr">
        <is>
          <t>0                      BV 0800000Z  58                 S  23          1992</t>
        </is>
      </c>
      <c r="D1130" t="inlineStr">
        <is>
          <t>Sacramenta : bibliographia internationalis / Maksimilijan Žitnik.</t>
        </is>
      </c>
      <c r="E1130" t="inlineStr">
        <is>
          <t>V.2</t>
        </is>
      </c>
      <c r="F1130" t="inlineStr">
        <is>
          <t>Yes</t>
        </is>
      </c>
      <c r="G1130" t="inlineStr">
        <is>
          <t>1</t>
        </is>
      </c>
      <c r="H1130" t="inlineStr">
        <is>
          <t>No</t>
        </is>
      </c>
      <c r="I1130" t="inlineStr">
        <is>
          <t>No</t>
        </is>
      </c>
      <c r="J1130" t="inlineStr">
        <is>
          <t>0</t>
        </is>
      </c>
      <c r="K1130" t="inlineStr">
        <is>
          <t>Žitnik, Maksimilijan.</t>
        </is>
      </c>
      <c r="L1130" t="inlineStr">
        <is>
          <t>Roma : Editrice Pontificia università gregoriana, 1992.</t>
        </is>
      </c>
      <c r="M1130" t="inlineStr">
        <is>
          <t>1992</t>
        </is>
      </c>
      <c r="O1130" t="inlineStr">
        <is>
          <t>lat</t>
        </is>
      </c>
      <c r="P1130" t="inlineStr">
        <is>
          <t xml:space="preserve">it </t>
        </is>
      </c>
      <c r="R1130" t="inlineStr">
        <is>
          <t xml:space="preserve">BV </t>
        </is>
      </c>
      <c r="S1130" t="n">
        <v>1</v>
      </c>
      <c r="T1130" t="n">
        <v>1</v>
      </c>
      <c r="U1130" t="inlineStr">
        <is>
          <t>1995-03-08</t>
        </is>
      </c>
      <c r="V1130" t="inlineStr">
        <is>
          <t>1995-03-08</t>
        </is>
      </c>
      <c r="W1130" t="inlineStr">
        <is>
          <t>1994-12-21</t>
        </is>
      </c>
      <c r="X1130" t="inlineStr">
        <is>
          <t>1994-12-21</t>
        </is>
      </c>
      <c r="Y1130" t="n">
        <v>74</v>
      </c>
      <c r="Z1130" t="n">
        <v>57</v>
      </c>
      <c r="AA1130" t="n">
        <v>57</v>
      </c>
      <c r="AB1130" t="n">
        <v>1</v>
      </c>
      <c r="AC1130" t="n">
        <v>1</v>
      </c>
      <c r="AD1130" t="n">
        <v>10</v>
      </c>
      <c r="AE1130" t="n">
        <v>10</v>
      </c>
      <c r="AF1130" t="n">
        <v>2</v>
      </c>
      <c r="AG1130" t="n">
        <v>2</v>
      </c>
      <c r="AH1130" t="n">
        <v>2</v>
      </c>
      <c r="AI1130" t="n">
        <v>2</v>
      </c>
      <c r="AJ1130" t="n">
        <v>8</v>
      </c>
      <c r="AK1130" t="n">
        <v>8</v>
      </c>
      <c r="AL1130" t="n">
        <v>0</v>
      </c>
      <c r="AM1130" t="n">
        <v>0</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HYPERLINK("https://creighton-primo.hosted.exlibrisgroup.com/primo-explore/search?tab=default_tab&amp;search_scope=EVERYTHING&amp;vid=01CRU&amp;lang=en_US&amp;offset=0&amp;query=any,contains,991002133369702656","Catalog Record")</f>
        <v/>
      </c>
      <c r="AT1130">
        <f>HYPERLINK("http://www.worldcat.org/oclc/27342197","WorldCat Record")</f>
        <v/>
      </c>
      <c r="AU1130" t="inlineStr">
        <is>
          <t>7594265:lat</t>
        </is>
      </c>
      <c r="AV1130" t="inlineStr">
        <is>
          <t>27342197</t>
        </is>
      </c>
      <c r="AW1130" t="inlineStr">
        <is>
          <t>991002133369702656</t>
        </is>
      </c>
      <c r="AX1130" t="inlineStr">
        <is>
          <t>991002133369702656</t>
        </is>
      </c>
      <c r="AY1130" t="inlineStr">
        <is>
          <t>2267719020002656</t>
        </is>
      </c>
      <c r="AZ1130" t="inlineStr">
        <is>
          <t>BOOK</t>
        </is>
      </c>
      <c r="BB1130" t="inlineStr">
        <is>
          <t>9788876526411</t>
        </is>
      </c>
      <c r="BC1130" t="inlineStr">
        <is>
          <t>32285001975514</t>
        </is>
      </c>
      <c r="BD1130" t="inlineStr">
        <is>
          <t>893328731</t>
        </is>
      </c>
    </row>
    <row r="1131">
      <c r="A1131" t="inlineStr">
        <is>
          <t>No</t>
        </is>
      </c>
      <c r="B1131" t="inlineStr">
        <is>
          <t>BV803 .H49 1993</t>
        </is>
      </c>
      <c r="C1131" t="inlineStr">
        <is>
          <t>0                      BV 0803000H  49          1993</t>
        </is>
      </c>
      <c r="D1131" t="inlineStr">
        <is>
          <t>Arator on the Acts of the Apostles : a baptismal commentary / Richard Hillier.</t>
        </is>
      </c>
      <c r="F1131" t="inlineStr">
        <is>
          <t>No</t>
        </is>
      </c>
      <c r="G1131" t="inlineStr">
        <is>
          <t>1</t>
        </is>
      </c>
      <c r="H1131" t="inlineStr">
        <is>
          <t>No</t>
        </is>
      </c>
      <c r="I1131" t="inlineStr">
        <is>
          <t>No</t>
        </is>
      </c>
      <c r="J1131" t="inlineStr">
        <is>
          <t>0</t>
        </is>
      </c>
      <c r="K1131" t="inlineStr">
        <is>
          <t>Hillier, Richard, Dr.</t>
        </is>
      </c>
      <c r="L1131" t="inlineStr">
        <is>
          <t>Oxford : Clarendon Press ; New York : Oxford University Press, 1993.</t>
        </is>
      </c>
      <c r="M1131" t="inlineStr">
        <is>
          <t>1993</t>
        </is>
      </c>
      <c r="O1131" t="inlineStr">
        <is>
          <t>eng</t>
        </is>
      </c>
      <c r="P1131" t="inlineStr">
        <is>
          <t>enk</t>
        </is>
      </c>
      <c r="Q1131" t="inlineStr">
        <is>
          <t>Oxford early Christian studies</t>
        </is>
      </c>
      <c r="R1131" t="inlineStr">
        <is>
          <t xml:space="preserve">BV </t>
        </is>
      </c>
      <c r="S1131" t="n">
        <v>1</v>
      </c>
      <c r="T1131" t="n">
        <v>1</v>
      </c>
      <c r="U1131" t="inlineStr">
        <is>
          <t>2009-01-16</t>
        </is>
      </c>
      <c r="V1131" t="inlineStr">
        <is>
          <t>2009-01-16</t>
        </is>
      </c>
      <c r="W1131" t="inlineStr">
        <is>
          <t>1996-10-03</t>
        </is>
      </c>
      <c r="X1131" t="inlineStr">
        <is>
          <t>1996-10-03</t>
        </is>
      </c>
      <c r="Y1131" t="n">
        <v>248</v>
      </c>
      <c r="Z1131" t="n">
        <v>188</v>
      </c>
      <c r="AA1131" t="n">
        <v>233</v>
      </c>
      <c r="AB1131" t="n">
        <v>1</v>
      </c>
      <c r="AC1131" t="n">
        <v>1</v>
      </c>
      <c r="AD1131" t="n">
        <v>17</v>
      </c>
      <c r="AE1131" t="n">
        <v>18</v>
      </c>
      <c r="AF1131" t="n">
        <v>6</v>
      </c>
      <c r="AG1131" t="n">
        <v>6</v>
      </c>
      <c r="AH1131" t="n">
        <v>5</v>
      </c>
      <c r="AI1131" t="n">
        <v>6</v>
      </c>
      <c r="AJ1131" t="n">
        <v>11</v>
      </c>
      <c r="AK1131" t="n">
        <v>11</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HYPERLINK("https://creighton-primo.hosted.exlibrisgroup.com/primo-explore/search?tab=default_tab&amp;search_scope=EVERYTHING&amp;vid=01CRU&amp;lang=en_US&amp;offset=0&amp;query=any,contains,991002071369702656","Catalog Record")</f>
        <v/>
      </c>
      <c r="AT1131">
        <f>HYPERLINK("http://www.worldcat.org/oclc/26545251","WorldCat Record")</f>
        <v/>
      </c>
      <c r="AU1131" t="inlineStr">
        <is>
          <t>784454223:eng</t>
        </is>
      </c>
      <c r="AV1131" t="inlineStr">
        <is>
          <t>26545251</t>
        </is>
      </c>
      <c r="AW1131" t="inlineStr">
        <is>
          <t>991002071369702656</t>
        </is>
      </c>
      <c r="AX1131" t="inlineStr">
        <is>
          <t>991002071369702656</t>
        </is>
      </c>
      <c r="AY1131" t="inlineStr">
        <is>
          <t>2263611750002656</t>
        </is>
      </c>
      <c r="AZ1131" t="inlineStr">
        <is>
          <t>BOOK</t>
        </is>
      </c>
      <c r="BB1131" t="inlineStr">
        <is>
          <t>9780198147862</t>
        </is>
      </c>
      <c r="BC1131" t="inlineStr">
        <is>
          <t>32285002322633</t>
        </is>
      </c>
      <c r="BD1131" t="inlineStr">
        <is>
          <t>893590877</t>
        </is>
      </c>
    </row>
    <row r="1132">
      <c r="A1132" t="inlineStr">
        <is>
          <t>No</t>
        </is>
      </c>
      <c r="B1132" t="inlineStr">
        <is>
          <t>BV803 .P3 1963</t>
        </is>
      </c>
      <c r="C1132" t="inlineStr">
        <is>
          <t>0                      BV 0803000P  3           1963</t>
        </is>
      </c>
      <c r="D1132" t="inlineStr">
        <is>
          <t>Sacraments of healing and of vocation / Paul F. Palmer.</t>
        </is>
      </c>
      <c r="F1132" t="inlineStr">
        <is>
          <t>No</t>
        </is>
      </c>
      <c r="G1132" t="inlineStr">
        <is>
          <t>1</t>
        </is>
      </c>
      <c r="H1132" t="inlineStr">
        <is>
          <t>No</t>
        </is>
      </c>
      <c r="I1132" t="inlineStr">
        <is>
          <t>No</t>
        </is>
      </c>
      <c r="J1132" t="inlineStr">
        <is>
          <t>0</t>
        </is>
      </c>
      <c r="K1132" t="inlineStr">
        <is>
          <t>Palmer, Paul F. (Paul Francis), 1908-</t>
        </is>
      </c>
      <c r="L1132" t="inlineStr">
        <is>
          <t>Englewood Cliffs, N. J. : Prentice-Hall, 1963.</t>
        </is>
      </c>
      <c r="M1132" t="inlineStr">
        <is>
          <t>1963</t>
        </is>
      </c>
      <c r="O1132" t="inlineStr">
        <is>
          <t>eng</t>
        </is>
      </c>
      <c r="P1132" t="inlineStr">
        <is>
          <t xml:space="preserve">xx </t>
        </is>
      </c>
      <c r="Q1132" t="inlineStr">
        <is>
          <t>Foundations of Catholic theology series</t>
        </is>
      </c>
      <c r="R1132" t="inlineStr">
        <is>
          <t xml:space="preserve">BV </t>
        </is>
      </c>
      <c r="S1132" t="n">
        <v>1</v>
      </c>
      <c r="T1132" t="n">
        <v>1</v>
      </c>
      <c r="U1132" t="inlineStr">
        <is>
          <t>2010-02-18</t>
        </is>
      </c>
      <c r="V1132" t="inlineStr">
        <is>
          <t>2010-02-18</t>
        </is>
      </c>
      <c r="W1132" t="inlineStr">
        <is>
          <t>1992-04-10</t>
        </is>
      </c>
      <c r="X1132" t="inlineStr">
        <is>
          <t>1992-04-10</t>
        </is>
      </c>
      <c r="Y1132" t="n">
        <v>310</v>
      </c>
      <c r="Z1132" t="n">
        <v>262</v>
      </c>
      <c r="AA1132" t="n">
        <v>277</v>
      </c>
      <c r="AB1132" t="n">
        <v>3</v>
      </c>
      <c r="AC1132" t="n">
        <v>3</v>
      </c>
      <c r="AD1132" t="n">
        <v>34</v>
      </c>
      <c r="AE1132" t="n">
        <v>34</v>
      </c>
      <c r="AF1132" t="n">
        <v>12</v>
      </c>
      <c r="AG1132" t="n">
        <v>12</v>
      </c>
      <c r="AH1132" t="n">
        <v>9</v>
      </c>
      <c r="AI1132" t="n">
        <v>9</v>
      </c>
      <c r="AJ1132" t="n">
        <v>25</v>
      </c>
      <c r="AK1132" t="n">
        <v>25</v>
      </c>
      <c r="AL1132" t="n">
        <v>1</v>
      </c>
      <c r="AM1132" t="n">
        <v>1</v>
      </c>
      <c r="AN1132" t="n">
        <v>0</v>
      </c>
      <c r="AO1132" t="n">
        <v>0</v>
      </c>
      <c r="AP1132" t="inlineStr">
        <is>
          <t>Yes</t>
        </is>
      </c>
      <c r="AQ1132" t="inlineStr">
        <is>
          <t>No</t>
        </is>
      </c>
      <c r="AR1132">
        <f>HYPERLINK("http://catalog.hathitrust.org/Record/102112986","HathiTrust Record")</f>
        <v/>
      </c>
      <c r="AS1132">
        <f>HYPERLINK("https://creighton-primo.hosted.exlibrisgroup.com/primo-explore/search?tab=default_tab&amp;search_scope=EVERYTHING&amp;vid=01CRU&amp;lang=en_US&amp;offset=0&amp;query=any,contains,991004328399702656","Catalog Record")</f>
        <v/>
      </c>
      <c r="AT1132">
        <f>HYPERLINK("http://www.worldcat.org/oclc/3051457","WorldCat Record")</f>
        <v/>
      </c>
      <c r="AU1132" t="inlineStr">
        <is>
          <t>1044936250:eng</t>
        </is>
      </c>
      <c r="AV1132" t="inlineStr">
        <is>
          <t>3051457</t>
        </is>
      </c>
      <c r="AW1132" t="inlineStr">
        <is>
          <t>991004328399702656</t>
        </is>
      </c>
      <c r="AX1132" t="inlineStr">
        <is>
          <t>991004328399702656</t>
        </is>
      </c>
      <c r="AY1132" t="inlineStr">
        <is>
          <t>2265002660002656</t>
        </is>
      </c>
      <c r="AZ1132" t="inlineStr">
        <is>
          <t>BOOK</t>
        </is>
      </c>
      <c r="BC1132" t="inlineStr">
        <is>
          <t>32285001018497</t>
        </is>
      </c>
      <c r="BD1132" t="inlineStr">
        <is>
          <t>893722377</t>
        </is>
      </c>
    </row>
    <row r="1133">
      <c r="A1133" t="inlineStr">
        <is>
          <t>No</t>
        </is>
      </c>
      <c r="B1133" t="inlineStr">
        <is>
          <t>BV803.A47 M8 1967</t>
        </is>
      </c>
      <c r="C1133" t="inlineStr">
        <is>
          <t>0                      BV 0803000A  47                 M  8           1967</t>
        </is>
      </c>
      <c r="D1133" t="inlineStr">
        <is>
          <t>Die Lehre von der Taufe bei Albert dem Grossen.</t>
        </is>
      </c>
      <c r="F1133" t="inlineStr">
        <is>
          <t>No</t>
        </is>
      </c>
      <c r="G1133" t="inlineStr">
        <is>
          <t>1</t>
        </is>
      </c>
      <c r="H1133" t="inlineStr">
        <is>
          <t>No</t>
        </is>
      </c>
      <c r="I1133" t="inlineStr">
        <is>
          <t>No</t>
        </is>
      </c>
      <c r="J1133" t="inlineStr">
        <is>
          <t>0</t>
        </is>
      </c>
      <c r="K1133" t="inlineStr">
        <is>
          <t>Müller, Alfons.</t>
        </is>
      </c>
      <c r="L1133" t="inlineStr">
        <is>
          <t>München, Paderborn, Wien, Schöningh, 1967.</t>
        </is>
      </c>
      <c r="M1133" t="inlineStr">
        <is>
          <t>1967</t>
        </is>
      </c>
      <c r="O1133" t="inlineStr">
        <is>
          <t>ger</t>
        </is>
      </c>
      <c r="P1133" t="inlineStr">
        <is>
          <t xml:space="preserve">gw </t>
        </is>
      </c>
      <c r="Q1133" t="inlineStr">
        <is>
          <t>Veröffentlichungen des Grabmann-Institutes zur Erforschung der Mittelalterlichen Theologie und Philosophie n. F., 2</t>
        </is>
      </c>
      <c r="R1133" t="inlineStr">
        <is>
          <t xml:space="preserve">BV </t>
        </is>
      </c>
      <c r="S1133" t="n">
        <v>1</v>
      </c>
      <c r="T1133" t="n">
        <v>1</v>
      </c>
      <c r="U1133" t="inlineStr">
        <is>
          <t>1992-06-15</t>
        </is>
      </c>
      <c r="V1133" t="inlineStr">
        <is>
          <t>1992-06-15</t>
        </is>
      </c>
      <c r="W1133" t="inlineStr">
        <is>
          <t>1992-01-23</t>
        </is>
      </c>
      <c r="X1133" t="inlineStr">
        <is>
          <t>1992-01-23</t>
        </is>
      </c>
      <c r="Y1133" t="n">
        <v>94</v>
      </c>
      <c r="Z1133" t="n">
        <v>56</v>
      </c>
      <c r="AA1133" t="n">
        <v>58</v>
      </c>
      <c r="AB1133" t="n">
        <v>1</v>
      </c>
      <c r="AC1133" t="n">
        <v>1</v>
      </c>
      <c r="AD1133" t="n">
        <v>5</v>
      </c>
      <c r="AE1133" t="n">
        <v>5</v>
      </c>
      <c r="AF1133" t="n">
        <v>0</v>
      </c>
      <c r="AG1133" t="n">
        <v>0</v>
      </c>
      <c r="AH1133" t="n">
        <v>1</v>
      </c>
      <c r="AI1133" t="n">
        <v>1</v>
      </c>
      <c r="AJ1133" t="n">
        <v>5</v>
      </c>
      <c r="AK1133" t="n">
        <v>5</v>
      </c>
      <c r="AL1133" t="n">
        <v>0</v>
      </c>
      <c r="AM1133" t="n">
        <v>0</v>
      </c>
      <c r="AN1133" t="n">
        <v>0</v>
      </c>
      <c r="AO1133" t="n">
        <v>0</v>
      </c>
      <c r="AP1133" t="inlineStr">
        <is>
          <t>No</t>
        </is>
      </c>
      <c r="AQ1133" t="inlineStr">
        <is>
          <t>Yes</t>
        </is>
      </c>
      <c r="AR1133">
        <f>HYPERLINK("http://catalog.hathitrust.org/Record/001413523","HathiTrust Record")</f>
        <v/>
      </c>
      <c r="AS1133">
        <f>HYPERLINK("https://creighton-primo.hosted.exlibrisgroup.com/primo-explore/search?tab=default_tab&amp;search_scope=EVERYTHING&amp;vid=01CRU&amp;lang=en_US&amp;offset=0&amp;query=any,contains,991004183159702656","Catalog Record")</f>
        <v/>
      </c>
      <c r="AT1133">
        <f>HYPERLINK("http://www.worldcat.org/oclc/2610838","WorldCat Record")</f>
        <v/>
      </c>
      <c r="AU1133" t="inlineStr">
        <is>
          <t>351355661:ger</t>
        </is>
      </c>
      <c r="AV1133" t="inlineStr">
        <is>
          <t>2610838</t>
        </is>
      </c>
      <c r="AW1133" t="inlineStr">
        <is>
          <t>991004183159702656</t>
        </is>
      </c>
      <c r="AX1133" t="inlineStr">
        <is>
          <t>991004183159702656</t>
        </is>
      </c>
      <c r="AY1133" t="inlineStr">
        <is>
          <t>2272063620002656</t>
        </is>
      </c>
      <c r="AZ1133" t="inlineStr">
        <is>
          <t>BOOK</t>
        </is>
      </c>
      <c r="BC1133" t="inlineStr">
        <is>
          <t>32285000925023</t>
        </is>
      </c>
      <c r="BD1133" t="inlineStr">
        <is>
          <t>893693638</t>
        </is>
      </c>
    </row>
    <row r="1134">
      <c r="A1134" t="inlineStr">
        <is>
          <t>No</t>
        </is>
      </c>
      <c r="B1134" t="inlineStr">
        <is>
          <t>BV806 .L913 1964</t>
        </is>
      </c>
      <c r="C1134" t="inlineStr">
        <is>
          <t>0                      BV 0806000L  913         1964</t>
        </is>
      </c>
      <c r="D1134" t="inlineStr">
        <is>
          <t>Baptism in the New Testament : a symposium / [by] A. George [and others] Translated by David Askew.</t>
        </is>
      </c>
      <c r="F1134" t="inlineStr">
        <is>
          <t>No</t>
        </is>
      </c>
      <c r="G1134" t="inlineStr">
        <is>
          <t>1</t>
        </is>
      </c>
      <c r="H1134" t="inlineStr">
        <is>
          <t>No</t>
        </is>
      </c>
      <c r="I1134" t="inlineStr">
        <is>
          <t>No</t>
        </is>
      </c>
      <c r="J1134" t="inlineStr">
        <is>
          <t>0</t>
        </is>
      </c>
      <c r="K1134" t="inlineStr">
        <is>
          <t>Lumière et vie (Lyon, France)</t>
        </is>
      </c>
      <c r="L1134" t="inlineStr">
        <is>
          <t>Baltimore : Helicon, [1964]</t>
        </is>
      </c>
      <c r="M1134" t="inlineStr">
        <is>
          <t>1964</t>
        </is>
      </c>
      <c r="O1134" t="inlineStr">
        <is>
          <t>eng</t>
        </is>
      </c>
      <c r="P1134" t="inlineStr">
        <is>
          <t>mdu</t>
        </is>
      </c>
      <c r="R1134" t="inlineStr">
        <is>
          <t xml:space="preserve">BV </t>
        </is>
      </c>
      <c r="S1134" t="n">
        <v>8</v>
      </c>
      <c r="T1134" t="n">
        <v>8</v>
      </c>
      <c r="U1134" t="inlineStr">
        <is>
          <t>2010-02-21</t>
        </is>
      </c>
      <c r="V1134" t="inlineStr">
        <is>
          <t>2010-02-21</t>
        </is>
      </c>
      <c r="W1134" t="inlineStr">
        <is>
          <t>1991-12-09</t>
        </is>
      </c>
      <c r="X1134" t="inlineStr">
        <is>
          <t>1991-12-09</t>
        </is>
      </c>
      <c r="Y1134" t="n">
        <v>251</v>
      </c>
      <c r="Z1134" t="n">
        <v>226</v>
      </c>
      <c r="AA1134" t="n">
        <v>254</v>
      </c>
      <c r="AB1134" t="n">
        <v>5</v>
      </c>
      <c r="AC1134" t="n">
        <v>5</v>
      </c>
      <c r="AD1134" t="n">
        <v>35</v>
      </c>
      <c r="AE1134" t="n">
        <v>37</v>
      </c>
      <c r="AF1134" t="n">
        <v>11</v>
      </c>
      <c r="AG1134" t="n">
        <v>13</v>
      </c>
      <c r="AH1134" t="n">
        <v>9</v>
      </c>
      <c r="AI1134" t="n">
        <v>9</v>
      </c>
      <c r="AJ1134" t="n">
        <v>22</v>
      </c>
      <c r="AK1134" t="n">
        <v>24</v>
      </c>
      <c r="AL1134" t="n">
        <v>2</v>
      </c>
      <c r="AM1134" t="n">
        <v>2</v>
      </c>
      <c r="AN1134" t="n">
        <v>0</v>
      </c>
      <c r="AO1134" t="n">
        <v>0</v>
      </c>
      <c r="AP1134" t="inlineStr">
        <is>
          <t>No</t>
        </is>
      </c>
      <c r="AQ1134" t="inlineStr">
        <is>
          <t>Yes</t>
        </is>
      </c>
      <c r="AR1134">
        <f>HYPERLINK("http://catalog.hathitrust.org/Record/102156130","HathiTrust Record")</f>
        <v/>
      </c>
      <c r="AS1134">
        <f>HYPERLINK("https://creighton-primo.hosted.exlibrisgroup.com/primo-explore/search?tab=default_tab&amp;search_scope=EVERYTHING&amp;vid=01CRU&amp;lang=en_US&amp;offset=0&amp;query=any,contains,991002641699702656","Catalog Record")</f>
        <v/>
      </c>
      <c r="AT1134">
        <f>HYPERLINK("http://www.worldcat.org/oclc/384575","WorldCat Record")</f>
        <v/>
      </c>
      <c r="AU1134" t="inlineStr">
        <is>
          <t>908119577:eng</t>
        </is>
      </c>
      <c r="AV1134" t="inlineStr">
        <is>
          <t>384575</t>
        </is>
      </c>
      <c r="AW1134" t="inlineStr">
        <is>
          <t>991002641699702656</t>
        </is>
      </c>
      <c r="AX1134" t="inlineStr">
        <is>
          <t>991002641699702656</t>
        </is>
      </c>
      <c r="AY1134" t="inlineStr">
        <is>
          <t>2256169990002656</t>
        </is>
      </c>
      <c r="AZ1134" t="inlineStr">
        <is>
          <t>BOOK</t>
        </is>
      </c>
      <c r="BC1134" t="inlineStr">
        <is>
          <t>32285000872712</t>
        </is>
      </c>
      <c r="BD1134" t="inlineStr">
        <is>
          <t>893517548</t>
        </is>
      </c>
    </row>
    <row r="1135">
      <c r="A1135" t="inlineStr">
        <is>
          <t>No</t>
        </is>
      </c>
      <c r="B1135" t="inlineStr">
        <is>
          <t>BV806 .W383 1987</t>
        </is>
      </c>
      <c r="C1135" t="inlineStr">
        <is>
          <t>0                      BV 0806000W  383         1987</t>
        </is>
      </c>
      <c r="D1135" t="inlineStr">
        <is>
          <t>Baptism and resurrection : studies in Pauline theology against its Graeco-Roman background / by A. J. M. Wedderburn.</t>
        </is>
      </c>
      <c r="F1135" t="inlineStr">
        <is>
          <t>No</t>
        </is>
      </c>
      <c r="G1135" t="inlineStr">
        <is>
          <t>1</t>
        </is>
      </c>
      <c r="H1135" t="inlineStr">
        <is>
          <t>No</t>
        </is>
      </c>
      <c r="I1135" t="inlineStr">
        <is>
          <t>No</t>
        </is>
      </c>
      <c r="J1135" t="inlineStr">
        <is>
          <t>0</t>
        </is>
      </c>
      <c r="K1135" t="inlineStr">
        <is>
          <t>Wedderburn, A. J. M.</t>
        </is>
      </c>
      <c r="L1135" t="inlineStr">
        <is>
          <t>Tübingen : J.C.B. Mohr (P. Siebeck), 1987.</t>
        </is>
      </c>
      <c r="M1135" t="inlineStr">
        <is>
          <t>1987</t>
        </is>
      </c>
      <c r="O1135" t="inlineStr">
        <is>
          <t>eng</t>
        </is>
      </c>
      <c r="P1135" t="inlineStr">
        <is>
          <t xml:space="preserve">gw </t>
        </is>
      </c>
      <c r="Q1135" t="inlineStr">
        <is>
          <t>Wissenschaftliche Untersuchungen zum Neuen Testament ; 44</t>
        </is>
      </c>
      <c r="R1135" t="inlineStr">
        <is>
          <t xml:space="preserve">BV </t>
        </is>
      </c>
      <c r="S1135" t="n">
        <v>6</v>
      </c>
      <c r="T1135" t="n">
        <v>6</v>
      </c>
      <c r="U1135" t="inlineStr">
        <is>
          <t>2006-10-05</t>
        </is>
      </c>
      <c r="V1135" t="inlineStr">
        <is>
          <t>2006-10-05</t>
        </is>
      </c>
      <c r="W1135" t="inlineStr">
        <is>
          <t>1989-11-29</t>
        </is>
      </c>
      <c r="X1135" t="inlineStr">
        <is>
          <t>1989-11-29</t>
        </is>
      </c>
      <c r="Y1135" t="n">
        <v>276</v>
      </c>
      <c r="Z1135" t="n">
        <v>163</v>
      </c>
      <c r="AA1135" t="n">
        <v>172</v>
      </c>
      <c r="AB1135" t="n">
        <v>1</v>
      </c>
      <c r="AC1135" t="n">
        <v>1</v>
      </c>
      <c r="AD1135" t="n">
        <v>12</v>
      </c>
      <c r="AE1135" t="n">
        <v>13</v>
      </c>
      <c r="AF1135" t="n">
        <v>2</v>
      </c>
      <c r="AG1135" t="n">
        <v>3</v>
      </c>
      <c r="AH1135" t="n">
        <v>4</v>
      </c>
      <c r="AI1135" t="n">
        <v>5</v>
      </c>
      <c r="AJ1135" t="n">
        <v>7</v>
      </c>
      <c r="AK1135" t="n">
        <v>7</v>
      </c>
      <c r="AL1135" t="n">
        <v>0</v>
      </c>
      <c r="AM1135" t="n">
        <v>0</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HYPERLINK("https://creighton-primo.hosted.exlibrisgroup.com/primo-explore/search?tab=default_tab&amp;search_scope=EVERYTHING&amp;vid=01CRU&amp;lang=en_US&amp;offset=0&amp;query=any,contains,991001253479702656","Catalog Record")</f>
        <v/>
      </c>
      <c r="AT1135">
        <f>HYPERLINK("http://www.worldcat.org/oclc/17699376","WorldCat Record")</f>
        <v/>
      </c>
      <c r="AU1135" t="inlineStr">
        <is>
          <t>876128560:eng</t>
        </is>
      </c>
      <c r="AV1135" t="inlineStr">
        <is>
          <t>17699376</t>
        </is>
      </c>
      <c r="AW1135" t="inlineStr">
        <is>
          <t>991001253479702656</t>
        </is>
      </c>
      <c r="AX1135" t="inlineStr">
        <is>
          <t>991001253479702656</t>
        </is>
      </c>
      <c r="AY1135" t="inlineStr">
        <is>
          <t>2259898350002656</t>
        </is>
      </c>
      <c r="AZ1135" t="inlineStr">
        <is>
          <t>BOOK</t>
        </is>
      </c>
      <c r="BB1135" t="inlineStr">
        <is>
          <t>9783161451928</t>
        </is>
      </c>
      <c r="BC1135" t="inlineStr">
        <is>
          <t>32285000016153</t>
        </is>
      </c>
      <c r="BD1135" t="inlineStr">
        <is>
          <t>893784968</t>
        </is>
      </c>
    </row>
    <row r="1136">
      <c r="A1136" t="inlineStr">
        <is>
          <t>No</t>
        </is>
      </c>
      <c r="B1136" t="inlineStr">
        <is>
          <t>BV807 .J54 1979</t>
        </is>
      </c>
      <c r="C1136" t="inlineStr">
        <is>
          <t>0                      BV 0807000J  54          1979</t>
        </is>
      </c>
      <c r="D1136" t="inlineStr">
        <is>
          <t>Initiationsfeier und Amt : e. Beitr. zur Struktur u. Theologie d. Ämter u.d. Taufgottesdienstes in d. frühen Kirche (Traditio Apostolica, Tertullian, Cyprian) / August Jilek.</t>
        </is>
      </c>
      <c r="F1136" t="inlineStr">
        <is>
          <t>No</t>
        </is>
      </c>
      <c r="G1136" t="inlineStr">
        <is>
          <t>1</t>
        </is>
      </c>
      <c r="H1136" t="inlineStr">
        <is>
          <t>No</t>
        </is>
      </c>
      <c r="I1136" t="inlineStr">
        <is>
          <t>No</t>
        </is>
      </c>
      <c r="J1136" t="inlineStr">
        <is>
          <t>0</t>
        </is>
      </c>
      <c r="K1136" t="inlineStr">
        <is>
          <t>Jilek, August, 1949-</t>
        </is>
      </c>
      <c r="L1136" t="inlineStr">
        <is>
          <t>Frankfurt am Main ; Bern ; Cirencester/U.K. : Lang, 1979.</t>
        </is>
      </c>
      <c r="M1136" t="inlineStr">
        <is>
          <t>1979</t>
        </is>
      </c>
      <c r="O1136" t="inlineStr">
        <is>
          <t>ger</t>
        </is>
      </c>
      <c r="P1136" t="inlineStr">
        <is>
          <t xml:space="preserve">gw </t>
        </is>
      </c>
      <c r="Q1136" t="inlineStr">
        <is>
          <t>Europäische Hochschulschriften : Reihe 23, Theologie ; Bd. 130</t>
        </is>
      </c>
      <c r="R1136" t="inlineStr">
        <is>
          <t xml:space="preserve">BV </t>
        </is>
      </c>
      <c r="S1136" t="n">
        <v>4</v>
      </c>
      <c r="T1136" t="n">
        <v>4</v>
      </c>
      <c r="U1136" t="inlineStr">
        <is>
          <t>2000-01-26</t>
        </is>
      </c>
      <c r="V1136" t="inlineStr">
        <is>
          <t>2000-01-26</t>
        </is>
      </c>
      <c r="W1136" t="inlineStr">
        <is>
          <t>1992-01-23</t>
        </is>
      </c>
      <c r="X1136" t="inlineStr">
        <is>
          <t>1992-01-23</t>
        </is>
      </c>
      <c r="Y1136" t="n">
        <v>43</v>
      </c>
      <c r="Z1136" t="n">
        <v>24</v>
      </c>
      <c r="AA1136" t="n">
        <v>25</v>
      </c>
      <c r="AB1136" t="n">
        <v>1</v>
      </c>
      <c r="AC1136" t="n">
        <v>1</v>
      </c>
      <c r="AD1136" t="n">
        <v>3</v>
      </c>
      <c r="AE1136" t="n">
        <v>3</v>
      </c>
      <c r="AF1136" t="n">
        <v>0</v>
      </c>
      <c r="AG1136" t="n">
        <v>0</v>
      </c>
      <c r="AH1136" t="n">
        <v>1</v>
      </c>
      <c r="AI1136" t="n">
        <v>1</v>
      </c>
      <c r="AJ1136" t="n">
        <v>3</v>
      </c>
      <c r="AK1136" t="n">
        <v>3</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HYPERLINK("https://creighton-primo.hosted.exlibrisgroup.com/primo-explore/search?tab=default_tab&amp;search_scope=EVERYTHING&amp;vid=01CRU&amp;lang=en_US&amp;offset=0&amp;query=any,contains,991004964709702656","Catalog Record")</f>
        <v/>
      </c>
      <c r="AT1136">
        <f>HYPERLINK("http://www.worldcat.org/oclc/6331079","WorldCat Record")</f>
        <v/>
      </c>
      <c r="AU1136" t="inlineStr">
        <is>
          <t>9350008362:ger</t>
        </is>
      </c>
      <c r="AV1136" t="inlineStr">
        <is>
          <t>6331079</t>
        </is>
      </c>
      <c r="AW1136" t="inlineStr">
        <is>
          <t>991004964709702656</t>
        </is>
      </c>
      <c r="AX1136" t="inlineStr">
        <is>
          <t>991004964709702656</t>
        </is>
      </c>
      <c r="AY1136" t="inlineStr">
        <is>
          <t>2272472470002656</t>
        </is>
      </c>
      <c r="AZ1136" t="inlineStr">
        <is>
          <t>BOOK</t>
        </is>
      </c>
      <c r="BB1136" t="inlineStr">
        <is>
          <t>9783820466317</t>
        </is>
      </c>
      <c r="BC1136" t="inlineStr">
        <is>
          <t>32285000925098</t>
        </is>
      </c>
      <c r="BD1136" t="inlineStr">
        <is>
          <t>893870298</t>
        </is>
      </c>
    </row>
    <row r="1137">
      <c r="A1137" t="inlineStr">
        <is>
          <t>No</t>
        </is>
      </c>
      <c r="B1137" t="inlineStr">
        <is>
          <t>BV811.2 .O53</t>
        </is>
      </c>
      <c r="C1137" t="inlineStr">
        <is>
          <t>0                      BV 0811200O  53</t>
        </is>
      </c>
      <c r="D1137" t="inlineStr">
        <is>
          <t>One baptism for the remission of sins / edited by Paul C. Empie and William W. Baum.</t>
        </is>
      </c>
      <c r="F1137" t="inlineStr">
        <is>
          <t>No</t>
        </is>
      </c>
      <c r="G1137" t="inlineStr">
        <is>
          <t>1</t>
        </is>
      </c>
      <c r="H1137" t="inlineStr">
        <is>
          <t>No</t>
        </is>
      </c>
      <c r="I1137" t="inlineStr">
        <is>
          <t>No</t>
        </is>
      </c>
      <c r="J1137" t="inlineStr">
        <is>
          <t>0</t>
        </is>
      </c>
      <c r="L1137" t="inlineStr">
        <is>
          <t>[New York] : U.S.A. National Committee, Lutheran World Federation, [1966]</t>
        </is>
      </c>
      <c r="M1137" t="inlineStr">
        <is>
          <t>1966</t>
        </is>
      </c>
      <c r="O1137" t="inlineStr">
        <is>
          <t>eng</t>
        </is>
      </c>
      <c r="P1137" t="inlineStr">
        <is>
          <t>nyu</t>
        </is>
      </c>
      <c r="Q1137" t="inlineStr">
        <is>
          <t>Lutherans and Catholics in dialogue ; 2</t>
        </is>
      </c>
      <c r="R1137" t="inlineStr">
        <is>
          <t xml:space="preserve">BV </t>
        </is>
      </c>
      <c r="S1137" t="n">
        <v>6</v>
      </c>
      <c r="T1137" t="n">
        <v>6</v>
      </c>
      <c r="U1137" t="inlineStr">
        <is>
          <t>2010-02-21</t>
        </is>
      </c>
      <c r="V1137" t="inlineStr">
        <is>
          <t>2010-02-21</t>
        </is>
      </c>
      <c r="W1137" t="inlineStr">
        <is>
          <t>1992-01-23</t>
        </is>
      </c>
      <c r="X1137" t="inlineStr">
        <is>
          <t>1992-01-23</t>
        </is>
      </c>
      <c r="Y1137" t="n">
        <v>125</v>
      </c>
      <c r="Z1137" t="n">
        <v>106</v>
      </c>
      <c r="AA1137" t="n">
        <v>109</v>
      </c>
      <c r="AB1137" t="n">
        <v>3</v>
      </c>
      <c r="AC1137" t="n">
        <v>3</v>
      </c>
      <c r="AD1137" t="n">
        <v>16</v>
      </c>
      <c r="AE1137" t="n">
        <v>16</v>
      </c>
      <c r="AF1137" t="n">
        <v>2</v>
      </c>
      <c r="AG1137" t="n">
        <v>2</v>
      </c>
      <c r="AH1137" t="n">
        <v>4</v>
      </c>
      <c r="AI1137" t="n">
        <v>4</v>
      </c>
      <c r="AJ1137" t="n">
        <v>12</v>
      </c>
      <c r="AK1137" t="n">
        <v>12</v>
      </c>
      <c r="AL1137" t="n">
        <v>2</v>
      </c>
      <c r="AM1137" t="n">
        <v>2</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HYPERLINK("https://creighton-primo.hosted.exlibrisgroup.com/primo-explore/search?tab=default_tab&amp;search_scope=EVERYTHING&amp;vid=01CRU&amp;lang=en_US&amp;offset=0&amp;query=any,contains,991003192149702656","Catalog Record")</f>
        <v/>
      </c>
      <c r="AT1137">
        <f>HYPERLINK("http://www.worldcat.org/oclc/717357","WorldCat Record")</f>
        <v/>
      </c>
      <c r="AU1137" t="inlineStr">
        <is>
          <t>422822659:eng</t>
        </is>
      </c>
      <c r="AV1137" t="inlineStr">
        <is>
          <t>717357</t>
        </is>
      </c>
      <c r="AW1137" t="inlineStr">
        <is>
          <t>991003192149702656</t>
        </is>
      </c>
      <c r="AX1137" t="inlineStr">
        <is>
          <t>991003192149702656</t>
        </is>
      </c>
      <c r="AY1137" t="inlineStr">
        <is>
          <t>2258896500002656</t>
        </is>
      </c>
      <c r="AZ1137" t="inlineStr">
        <is>
          <t>BOOK</t>
        </is>
      </c>
      <c r="BC1137" t="inlineStr">
        <is>
          <t>32285000925122</t>
        </is>
      </c>
      <c r="BD1137" t="inlineStr">
        <is>
          <t>893518228</t>
        </is>
      </c>
    </row>
    <row r="1138">
      <c r="A1138" t="inlineStr">
        <is>
          <t>No</t>
        </is>
      </c>
      <c r="B1138" t="inlineStr">
        <is>
          <t>BV812 .B39</t>
        </is>
      </c>
      <c r="C1138" t="inlineStr">
        <is>
          <t>0                      BV 0812000B  39</t>
        </is>
      </c>
      <c r="D1138" t="inlineStr">
        <is>
          <t>Becoming a Catholic Christian : a symposium on Christian initiation (advance publication).</t>
        </is>
      </c>
      <c r="F1138" t="inlineStr">
        <is>
          <t>No</t>
        </is>
      </c>
      <c r="G1138" t="inlineStr">
        <is>
          <t>1</t>
        </is>
      </c>
      <c r="H1138" t="inlineStr">
        <is>
          <t>No</t>
        </is>
      </c>
      <c r="I1138" t="inlineStr">
        <is>
          <t>No</t>
        </is>
      </c>
      <c r="J1138" t="inlineStr">
        <is>
          <t>0</t>
        </is>
      </c>
      <c r="L1138" t="inlineStr">
        <is>
          <t>New York : Sadlier, c1978.</t>
        </is>
      </c>
      <c r="M1138" t="inlineStr">
        <is>
          <t>1978</t>
        </is>
      </c>
      <c r="O1138" t="inlineStr">
        <is>
          <t>eng</t>
        </is>
      </c>
      <c r="P1138" t="inlineStr">
        <is>
          <t xml:space="preserve">xx </t>
        </is>
      </c>
      <c r="R1138" t="inlineStr">
        <is>
          <t xml:space="preserve">BV </t>
        </is>
      </c>
      <c r="S1138" t="n">
        <v>2</v>
      </c>
      <c r="T1138" t="n">
        <v>2</v>
      </c>
      <c r="U1138" t="inlineStr">
        <is>
          <t>2001-12-07</t>
        </is>
      </c>
      <c r="V1138" t="inlineStr">
        <is>
          <t>2001-12-07</t>
        </is>
      </c>
      <c r="W1138" t="inlineStr">
        <is>
          <t>1991-07-11</t>
        </is>
      </c>
      <c r="X1138" t="inlineStr">
        <is>
          <t>1991-07-11</t>
        </is>
      </c>
      <c r="Y1138" t="n">
        <v>14</v>
      </c>
      <c r="Z1138" t="n">
        <v>14</v>
      </c>
      <c r="AA1138" t="n">
        <v>14</v>
      </c>
      <c r="AB1138" t="n">
        <v>1</v>
      </c>
      <c r="AC1138" t="n">
        <v>1</v>
      </c>
      <c r="AD1138" t="n">
        <v>3</v>
      </c>
      <c r="AE1138" t="n">
        <v>3</v>
      </c>
      <c r="AF1138" t="n">
        <v>0</v>
      </c>
      <c r="AG1138" t="n">
        <v>0</v>
      </c>
      <c r="AH1138" t="n">
        <v>1</v>
      </c>
      <c r="AI1138" t="n">
        <v>1</v>
      </c>
      <c r="AJ1138" t="n">
        <v>2</v>
      </c>
      <c r="AK1138" t="n">
        <v>2</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HYPERLINK("https://creighton-primo.hosted.exlibrisgroup.com/primo-explore/search?tab=default_tab&amp;search_scope=EVERYTHING&amp;vid=01CRU&amp;lang=en_US&amp;offset=0&amp;query=any,contains,991004843239702656","Catalog Record")</f>
        <v/>
      </c>
      <c r="AT1138">
        <f>HYPERLINK("http://www.worldcat.org/oclc/5527424","WorldCat Record")</f>
        <v/>
      </c>
      <c r="AU1138" t="inlineStr">
        <is>
          <t>18837967:eng</t>
        </is>
      </c>
      <c r="AV1138" t="inlineStr">
        <is>
          <t>5527424</t>
        </is>
      </c>
      <c r="AW1138" t="inlineStr">
        <is>
          <t>991004843239702656</t>
        </is>
      </c>
      <c r="AX1138" t="inlineStr">
        <is>
          <t>991004843239702656</t>
        </is>
      </c>
      <c r="AY1138" t="inlineStr">
        <is>
          <t>2272630540002656</t>
        </is>
      </c>
      <c r="AZ1138" t="inlineStr">
        <is>
          <t>BOOK</t>
        </is>
      </c>
      <c r="BC1138" t="inlineStr">
        <is>
          <t>32285000637271</t>
        </is>
      </c>
      <c r="BD1138" t="inlineStr">
        <is>
          <t>893325866</t>
        </is>
      </c>
    </row>
    <row r="1139">
      <c r="A1139" t="inlineStr">
        <is>
          <t>No</t>
        </is>
      </c>
      <c r="B1139" t="inlineStr">
        <is>
          <t>BV812 .R63213 1977</t>
        </is>
      </c>
      <c r="C1139" t="inlineStr">
        <is>
          <t>0                      BV 0812000R  63213       1977</t>
        </is>
      </c>
      <c r="D1139" t="inlineStr">
        <is>
          <t>Homilies for the celebration of baptism for children / by A. M. Roguet ; translated by Jerome J. DuCharme.</t>
        </is>
      </c>
      <c r="F1139" t="inlineStr">
        <is>
          <t>No</t>
        </is>
      </c>
      <c r="G1139" t="inlineStr">
        <is>
          <t>1</t>
        </is>
      </c>
      <c r="H1139" t="inlineStr">
        <is>
          <t>No</t>
        </is>
      </c>
      <c r="I1139" t="inlineStr">
        <is>
          <t>No</t>
        </is>
      </c>
      <c r="J1139" t="inlineStr">
        <is>
          <t>0</t>
        </is>
      </c>
      <c r="K1139" t="inlineStr">
        <is>
          <t>Roguet, A.-M. (Aymon-Marie), 1906-1991.</t>
        </is>
      </c>
      <c r="L1139" t="inlineStr">
        <is>
          <t>Chicago : Franciscan Herald Press, c1977.</t>
        </is>
      </c>
      <c r="M1139" t="inlineStr">
        <is>
          <t>1977</t>
        </is>
      </c>
      <c r="O1139" t="inlineStr">
        <is>
          <t>eng</t>
        </is>
      </c>
      <c r="P1139" t="inlineStr">
        <is>
          <t>ilu</t>
        </is>
      </c>
      <c r="R1139" t="inlineStr">
        <is>
          <t xml:space="preserve">BV </t>
        </is>
      </c>
      <c r="S1139" t="n">
        <v>7</v>
      </c>
      <c r="T1139" t="n">
        <v>7</v>
      </c>
      <c r="U1139" t="inlineStr">
        <is>
          <t>2001-10-17</t>
        </is>
      </c>
      <c r="V1139" t="inlineStr">
        <is>
          <t>2001-10-17</t>
        </is>
      </c>
      <c r="W1139" t="inlineStr">
        <is>
          <t>1991-02-25</t>
        </is>
      </c>
      <c r="X1139" t="inlineStr">
        <is>
          <t>1991-02-25</t>
        </is>
      </c>
      <c r="Y1139" t="n">
        <v>44</v>
      </c>
      <c r="Z1139" t="n">
        <v>38</v>
      </c>
      <c r="AA1139" t="n">
        <v>38</v>
      </c>
      <c r="AB1139" t="n">
        <v>1</v>
      </c>
      <c r="AC1139" t="n">
        <v>1</v>
      </c>
      <c r="AD1139" t="n">
        <v>4</v>
      </c>
      <c r="AE1139" t="n">
        <v>4</v>
      </c>
      <c r="AF1139" t="n">
        <v>1</v>
      </c>
      <c r="AG1139" t="n">
        <v>1</v>
      </c>
      <c r="AH1139" t="n">
        <v>1</v>
      </c>
      <c r="AI1139" t="n">
        <v>1</v>
      </c>
      <c r="AJ1139" t="n">
        <v>3</v>
      </c>
      <c r="AK1139" t="n">
        <v>3</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HYPERLINK("https://creighton-primo.hosted.exlibrisgroup.com/primo-explore/search?tab=default_tab&amp;search_scope=EVERYTHING&amp;vid=01CRU&amp;lang=en_US&amp;offset=0&amp;query=any,contains,991004499459702656","Catalog Record")</f>
        <v/>
      </c>
      <c r="AT1139">
        <f>HYPERLINK("http://www.worldcat.org/oclc/3710662","WorldCat Record")</f>
        <v/>
      </c>
      <c r="AU1139" t="inlineStr">
        <is>
          <t>11896949:eng</t>
        </is>
      </c>
      <c r="AV1139" t="inlineStr">
        <is>
          <t>3710662</t>
        </is>
      </c>
      <c r="AW1139" t="inlineStr">
        <is>
          <t>991004499459702656</t>
        </is>
      </c>
      <c r="AX1139" t="inlineStr">
        <is>
          <t>991004499459702656</t>
        </is>
      </c>
      <c r="AY1139" t="inlineStr">
        <is>
          <t>2263831630002656</t>
        </is>
      </c>
      <c r="AZ1139" t="inlineStr">
        <is>
          <t>BOOK</t>
        </is>
      </c>
      <c r="BB1139" t="inlineStr">
        <is>
          <t>9780819906557</t>
        </is>
      </c>
      <c r="BC1139" t="inlineStr">
        <is>
          <t>32285000491471</t>
        </is>
      </c>
      <c r="BD1139" t="inlineStr">
        <is>
          <t>893776085</t>
        </is>
      </c>
    </row>
    <row r="1140">
      <c r="A1140" t="inlineStr">
        <is>
          <t>No</t>
        </is>
      </c>
      <c r="B1140" t="inlineStr">
        <is>
          <t>BV815 .D59</t>
        </is>
      </c>
      <c r="C1140" t="inlineStr">
        <is>
          <t>0                      BV 0815000D  59</t>
        </is>
      </c>
      <c r="D1140" t="inlineStr">
        <is>
          <t>The theology of confirmation in relation to baptism : a public lecture in the University of Oxford delivered on January 22nd, 1946 / by Dom Gregory Dix.</t>
        </is>
      </c>
      <c r="F1140" t="inlineStr">
        <is>
          <t>No</t>
        </is>
      </c>
      <c r="G1140" t="inlineStr">
        <is>
          <t>1</t>
        </is>
      </c>
      <c r="H1140" t="inlineStr">
        <is>
          <t>No</t>
        </is>
      </c>
      <c r="I1140" t="inlineStr">
        <is>
          <t>No</t>
        </is>
      </c>
      <c r="J1140" t="inlineStr">
        <is>
          <t>0</t>
        </is>
      </c>
      <c r="K1140" t="inlineStr">
        <is>
          <t>Dix, Gregory.</t>
        </is>
      </c>
      <c r="L1140" t="inlineStr">
        <is>
          <t>Westminster [London] : Dacre Press, 1946.</t>
        </is>
      </c>
      <c r="M1140" t="inlineStr">
        <is>
          <t>1946</t>
        </is>
      </c>
      <c r="O1140" t="inlineStr">
        <is>
          <t>eng</t>
        </is>
      </c>
      <c r="P1140" t="inlineStr">
        <is>
          <t>___</t>
        </is>
      </c>
      <c r="R1140" t="inlineStr">
        <is>
          <t xml:space="preserve">BV </t>
        </is>
      </c>
      <c r="S1140" t="n">
        <v>5</v>
      </c>
      <c r="T1140" t="n">
        <v>5</v>
      </c>
      <c r="U1140" t="inlineStr">
        <is>
          <t>2001-03-25</t>
        </is>
      </c>
      <c r="V1140" t="inlineStr">
        <is>
          <t>2001-03-25</t>
        </is>
      </c>
      <c r="W1140" t="inlineStr">
        <is>
          <t>1992-04-27</t>
        </is>
      </c>
      <c r="X1140" t="inlineStr">
        <is>
          <t>1992-04-27</t>
        </is>
      </c>
      <c r="Y1140" t="n">
        <v>88</v>
      </c>
      <c r="Z1140" t="n">
        <v>72</v>
      </c>
      <c r="AA1140" t="n">
        <v>118</v>
      </c>
      <c r="AB1140" t="n">
        <v>1</v>
      </c>
      <c r="AC1140" t="n">
        <v>1</v>
      </c>
      <c r="AD1140" t="n">
        <v>4</v>
      </c>
      <c r="AE1140" t="n">
        <v>7</v>
      </c>
      <c r="AF1140" t="n">
        <v>2</v>
      </c>
      <c r="AG1140" t="n">
        <v>3</v>
      </c>
      <c r="AH1140" t="n">
        <v>0</v>
      </c>
      <c r="AI1140" t="n">
        <v>0</v>
      </c>
      <c r="AJ1140" t="n">
        <v>3</v>
      </c>
      <c r="AK1140" t="n">
        <v>5</v>
      </c>
      <c r="AL1140" t="n">
        <v>0</v>
      </c>
      <c r="AM1140" t="n">
        <v>0</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HYPERLINK("https://creighton-primo.hosted.exlibrisgroup.com/primo-explore/search?tab=default_tab&amp;search_scope=EVERYTHING&amp;vid=01CRU&amp;lang=en_US&amp;offset=0&amp;query=any,contains,991003783559702656","Catalog Record")</f>
        <v/>
      </c>
      <c r="AT1140">
        <f>HYPERLINK("http://www.worldcat.org/oclc/1498655","WorldCat Record")</f>
        <v/>
      </c>
      <c r="AU1140" t="inlineStr">
        <is>
          <t>2431521:eng</t>
        </is>
      </c>
      <c r="AV1140" t="inlineStr">
        <is>
          <t>1498655</t>
        </is>
      </c>
      <c r="AW1140" t="inlineStr">
        <is>
          <t>991003783559702656</t>
        </is>
      </c>
      <c r="AX1140" t="inlineStr">
        <is>
          <t>991003783559702656</t>
        </is>
      </c>
      <c r="AY1140" t="inlineStr">
        <is>
          <t>2269082200002656</t>
        </is>
      </c>
      <c r="AZ1140" t="inlineStr">
        <is>
          <t>BOOK</t>
        </is>
      </c>
      <c r="BC1140" t="inlineStr">
        <is>
          <t>32285001101681</t>
        </is>
      </c>
      <c r="BD1140" t="inlineStr">
        <is>
          <t>893775189</t>
        </is>
      </c>
    </row>
    <row r="1141">
      <c r="A1141" t="inlineStr">
        <is>
          <t>No</t>
        </is>
      </c>
      <c r="B1141" t="inlineStr">
        <is>
          <t>BV820 .B37 1994</t>
        </is>
      </c>
      <c r="C1141" t="inlineStr">
        <is>
          <t>0                      BV 0820000B  37          1994</t>
        </is>
      </c>
      <c r="D1141" t="inlineStr">
        <is>
          <t>Versions of deconversion : autobiography and the loss of faith / John D. Barbour</t>
        </is>
      </c>
      <c r="F1141" t="inlineStr">
        <is>
          <t>No</t>
        </is>
      </c>
      <c r="G1141" t="inlineStr">
        <is>
          <t>1</t>
        </is>
      </c>
      <c r="H1141" t="inlineStr">
        <is>
          <t>No</t>
        </is>
      </c>
      <c r="I1141" t="inlineStr">
        <is>
          <t>No</t>
        </is>
      </c>
      <c r="J1141" t="inlineStr">
        <is>
          <t>0</t>
        </is>
      </c>
      <c r="K1141" t="inlineStr">
        <is>
          <t>Barbour, John D.</t>
        </is>
      </c>
      <c r="L1141" t="inlineStr">
        <is>
          <t>Charlottesville : University Press of Virginia, 1994.</t>
        </is>
      </c>
      <c r="M1141" t="inlineStr">
        <is>
          <t>1994</t>
        </is>
      </c>
      <c r="O1141" t="inlineStr">
        <is>
          <t>eng</t>
        </is>
      </c>
      <c r="P1141" t="inlineStr">
        <is>
          <t>vau</t>
        </is>
      </c>
      <c r="Q1141" t="inlineStr">
        <is>
          <t>Studies in religion and culture</t>
        </is>
      </c>
      <c r="R1141" t="inlineStr">
        <is>
          <t xml:space="preserve">BV </t>
        </is>
      </c>
      <c r="S1141" t="n">
        <v>3</v>
      </c>
      <c r="T1141" t="n">
        <v>3</v>
      </c>
      <c r="U1141" t="inlineStr">
        <is>
          <t>1998-12-11</t>
        </is>
      </c>
      <c r="V1141" t="inlineStr">
        <is>
          <t>1998-12-11</t>
        </is>
      </c>
      <c r="W1141" t="inlineStr">
        <is>
          <t>1998-12-10</t>
        </is>
      </c>
      <c r="X1141" t="inlineStr">
        <is>
          <t>1998-12-10</t>
        </is>
      </c>
      <c r="Y1141" t="n">
        <v>411</v>
      </c>
      <c r="Z1141" t="n">
        <v>352</v>
      </c>
      <c r="AA1141" t="n">
        <v>352</v>
      </c>
      <c r="AB1141" t="n">
        <v>5</v>
      </c>
      <c r="AC1141" t="n">
        <v>5</v>
      </c>
      <c r="AD1141" t="n">
        <v>29</v>
      </c>
      <c r="AE1141" t="n">
        <v>29</v>
      </c>
      <c r="AF1141" t="n">
        <v>11</v>
      </c>
      <c r="AG1141" t="n">
        <v>11</v>
      </c>
      <c r="AH1141" t="n">
        <v>7</v>
      </c>
      <c r="AI1141" t="n">
        <v>7</v>
      </c>
      <c r="AJ1141" t="n">
        <v>16</v>
      </c>
      <c r="AK1141" t="n">
        <v>16</v>
      </c>
      <c r="AL1141" t="n">
        <v>4</v>
      </c>
      <c r="AM1141" t="n">
        <v>4</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HYPERLINK("https://creighton-primo.hosted.exlibrisgroup.com/primo-explore/search?tab=default_tab&amp;search_scope=EVERYTHING&amp;vid=01CRU&amp;lang=en_US&amp;offset=0&amp;query=any,contains,991002332059702656","Catalog Record")</f>
        <v/>
      </c>
      <c r="AT1141">
        <f>HYPERLINK("http://www.worldcat.org/oclc/30355348","WorldCat Record")</f>
        <v/>
      </c>
      <c r="AU1141" t="inlineStr">
        <is>
          <t>836867769:eng</t>
        </is>
      </c>
      <c r="AV1141" t="inlineStr">
        <is>
          <t>30355348</t>
        </is>
      </c>
      <c r="AW1141" t="inlineStr">
        <is>
          <t>991002332059702656</t>
        </is>
      </c>
      <c r="AX1141" t="inlineStr">
        <is>
          <t>991002332059702656</t>
        </is>
      </c>
      <c r="AY1141" t="inlineStr">
        <is>
          <t>2256614810002656</t>
        </is>
      </c>
      <c r="AZ1141" t="inlineStr">
        <is>
          <t>BOOK</t>
        </is>
      </c>
      <c r="BB1141" t="inlineStr">
        <is>
          <t>9780813915463</t>
        </is>
      </c>
      <c r="BC1141" t="inlineStr">
        <is>
          <t>32285003481685</t>
        </is>
      </c>
      <c r="BD1141" t="inlineStr">
        <is>
          <t>893597318</t>
        </is>
      </c>
    </row>
    <row r="1142">
      <c r="A1142" t="inlineStr">
        <is>
          <t>No</t>
        </is>
      </c>
      <c r="B1142" t="inlineStr">
        <is>
          <t>BV820 .D82</t>
        </is>
      </c>
      <c r="C1142" t="inlineStr">
        <is>
          <t>0                      BV 0820000D  82</t>
        </is>
      </c>
      <c r="D1142" t="inlineStr">
        <is>
          <t>Where have all our people gone? : New choices for old churches / Carl S. Dudley.</t>
        </is>
      </c>
      <c r="F1142" t="inlineStr">
        <is>
          <t>No</t>
        </is>
      </c>
      <c r="G1142" t="inlineStr">
        <is>
          <t>1</t>
        </is>
      </c>
      <c r="H1142" t="inlineStr">
        <is>
          <t>No</t>
        </is>
      </c>
      <c r="I1142" t="inlineStr">
        <is>
          <t>No</t>
        </is>
      </c>
      <c r="J1142" t="inlineStr">
        <is>
          <t>0</t>
        </is>
      </c>
      <c r="K1142" t="inlineStr">
        <is>
          <t>Dudley, Carl S., 1932-</t>
        </is>
      </c>
      <c r="L1142" t="inlineStr">
        <is>
          <t>New York : Pilgrim Press, c1979.</t>
        </is>
      </c>
      <c r="M1142" t="inlineStr">
        <is>
          <t>1979</t>
        </is>
      </c>
      <c r="O1142" t="inlineStr">
        <is>
          <t>eng</t>
        </is>
      </c>
      <c r="P1142" t="inlineStr">
        <is>
          <t>nyu</t>
        </is>
      </c>
      <c r="R1142" t="inlineStr">
        <is>
          <t xml:space="preserve">BV </t>
        </is>
      </c>
      <c r="S1142" t="n">
        <v>8</v>
      </c>
      <c r="T1142" t="n">
        <v>8</v>
      </c>
      <c r="U1142" t="inlineStr">
        <is>
          <t>1996-06-06</t>
        </is>
      </c>
      <c r="V1142" t="inlineStr">
        <is>
          <t>1996-06-06</t>
        </is>
      </c>
      <c r="W1142" t="inlineStr">
        <is>
          <t>1992-01-23</t>
        </is>
      </c>
      <c r="X1142" t="inlineStr">
        <is>
          <t>1992-01-23</t>
        </is>
      </c>
      <c r="Y1142" t="n">
        <v>343</v>
      </c>
      <c r="Z1142" t="n">
        <v>307</v>
      </c>
      <c r="AA1142" t="n">
        <v>312</v>
      </c>
      <c r="AB1142" t="n">
        <v>2</v>
      </c>
      <c r="AC1142" t="n">
        <v>2</v>
      </c>
      <c r="AD1142" t="n">
        <v>15</v>
      </c>
      <c r="AE1142" t="n">
        <v>15</v>
      </c>
      <c r="AF1142" t="n">
        <v>5</v>
      </c>
      <c r="AG1142" t="n">
        <v>5</v>
      </c>
      <c r="AH1142" t="n">
        <v>2</v>
      </c>
      <c r="AI1142" t="n">
        <v>2</v>
      </c>
      <c r="AJ1142" t="n">
        <v>13</v>
      </c>
      <c r="AK1142" t="n">
        <v>13</v>
      </c>
      <c r="AL1142" t="n">
        <v>1</v>
      </c>
      <c r="AM1142" t="n">
        <v>1</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HYPERLINK("https://creighton-primo.hosted.exlibrisgroup.com/primo-explore/search?tab=default_tab&amp;search_scope=EVERYTHING&amp;vid=01CRU&amp;lang=en_US&amp;offset=0&amp;query=any,contains,991004695329702656","Catalog Record")</f>
        <v/>
      </c>
      <c r="AT1142">
        <f>HYPERLINK("http://www.worldcat.org/oclc/4638912","WorldCat Record")</f>
        <v/>
      </c>
      <c r="AU1142" t="inlineStr">
        <is>
          <t>14911771:eng</t>
        </is>
      </c>
      <c r="AV1142" t="inlineStr">
        <is>
          <t>4638912</t>
        </is>
      </c>
      <c r="AW1142" t="inlineStr">
        <is>
          <t>991004695329702656</t>
        </is>
      </c>
      <c r="AX1142" t="inlineStr">
        <is>
          <t>991004695329702656</t>
        </is>
      </c>
      <c r="AY1142" t="inlineStr">
        <is>
          <t>2255878110002656</t>
        </is>
      </c>
      <c r="AZ1142" t="inlineStr">
        <is>
          <t>BOOK</t>
        </is>
      </c>
      <c r="BB1142" t="inlineStr">
        <is>
          <t>9780829803594</t>
        </is>
      </c>
      <c r="BC1142" t="inlineStr">
        <is>
          <t>32285000925197</t>
        </is>
      </c>
      <c r="BD1142" t="inlineStr">
        <is>
          <t>893417887</t>
        </is>
      </c>
    </row>
    <row r="1143">
      <c r="A1143" t="inlineStr">
        <is>
          <t>No</t>
        </is>
      </c>
      <c r="B1143" t="inlineStr">
        <is>
          <t>BV820 .U5</t>
        </is>
      </c>
      <c r="C1143" t="inlineStr">
        <is>
          <t>0                      BV 0820000U  5</t>
        </is>
      </c>
      <c r="D1143" t="inlineStr">
        <is>
          <t>Understanding church growth and decline, 1950-1978 / edited by Dean R. Hoge and David A. Roozen.</t>
        </is>
      </c>
      <c r="F1143" t="inlineStr">
        <is>
          <t>No</t>
        </is>
      </c>
      <c r="G1143" t="inlineStr">
        <is>
          <t>1</t>
        </is>
      </c>
      <c r="H1143" t="inlineStr">
        <is>
          <t>No</t>
        </is>
      </c>
      <c r="I1143" t="inlineStr">
        <is>
          <t>No</t>
        </is>
      </c>
      <c r="J1143" t="inlineStr">
        <is>
          <t>0</t>
        </is>
      </c>
      <c r="L1143" t="inlineStr">
        <is>
          <t>New York : Pilgrim Press, c1979.</t>
        </is>
      </c>
      <c r="M1143" t="inlineStr">
        <is>
          <t>1979</t>
        </is>
      </c>
      <c r="O1143" t="inlineStr">
        <is>
          <t>eng</t>
        </is>
      </c>
      <c r="P1143" t="inlineStr">
        <is>
          <t>nyu</t>
        </is>
      </c>
      <c r="R1143" t="inlineStr">
        <is>
          <t xml:space="preserve">BV </t>
        </is>
      </c>
      <c r="S1143" t="n">
        <v>6</v>
      </c>
      <c r="T1143" t="n">
        <v>6</v>
      </c>
      <c r="U1143" t="inlineStr">
        <is>
          <t>1996-06-06</t>
        </is>
      </c>
      <c r="V1143" t="inlineStr">
        <is>
          <t>1996-06-06</t>
        </is>
      </c>
      <c r="W1143" t="inlineStr">
        <is>
          <t>1992-01-23</t>
        </is>
      </c>
      <c r="X1143" t="inlineStr">
        <is>
          <t>1992-01-23</t>
        </is>
      </c>
      <c r="Y1143" t="n">
        <v>569</v>
      </c>
      <c r="Z1143" t="n">
        <v>494</v>
      </c>
      <c r="AA1143" t="n">
        <v>495</v>
      </c>
      <c r="AB1143" t="n">
        <v>3</v>
      </c>
      <c r="AC1143" t="n">
        <v>3</v>
      </c>
      <c r="AD1143" t="n">
        <v>26</v>
      </c>
      <c r="AE1143" t="n">
        <v>26</v>
      </c>
      <c r="AF1143" t="n">
        <v>9</v>
      </c>
      <c r="AG1143" t="n">
        <v>9</v>
      </c>
      <c r="AH1143" t="n">
        <v>4</v>
      </c>
      <c r="AI1143" t="n">
        <v>4</v>
      </c>
      <c r="AJ1143" t="n">
        <v>16</v>
      </c>
      <c r="AK1143" t="n">
        <v>16</v>
      </c>
      <c r="AL1143" t="n">
        <v>2</v>
      </c>
      <c r="AM1143" t="n">
        <v>2</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HYPERLINK("https://creighton-primo.hosted.exlibrisgroup.com/primo-explore/search?tab=default_tab&amp;search_scope=EVERYTHING&amp;vid=01CRU&amp;lang=en_US&amp;offset=0&amp;query=any,contains,991004716709702656","Catalog Record")</f>
        <v/>
      </c>
      <c r="AT1143">
        <f>HYPERLINK("http://www.worldcat.org/oclc/4776446","WorldCat Record")</f>
        <v/>
      </c>
      <c r="AU1143" t="inlineStr">
        <is>
          <t>15037914:eng</t>
        </is>
      </c>
      <c r="AV1143" t="inlineStr">
        <is>
          <t>4776446</t>
        </is>
      </c>
      <c r="AW1143" t="inlineStr">
        <is>
          <t>991004716709702656</t>
        </is>
      </c>
      <c r="AX1143" t="inlineStr">
        <is>
          <t>991004716709702656</t>
        </is>
      </c>
      <c r="AY1143" t="inlineStr">
        <is>
          <t>2254813820002656</t>
        </is>
      </c>
      <c r="AZ1143" t="inlineStr">
        <is>
          <t>BOOK</t>
        </is>
      </c>
      <c r="BB1143" t="inlineStr">
        <is>
          <t>9780829803587</t>
        </is>
      </c>
      <c r="BC1143" t="inlineStr">
        <is>
          <t>32285000925213</t>
        </is>
      </c>
      <c r="BD1143" t="inlineStr">
        <is>
          <t>893901672</t>
        </is>
      </c>
    </row>
    <row r="1144">
      <c r="A1144" t="inlineStr">
        <is>
          <t>No</t>
        </is>
      </c>
      <c r="B1144" t="inlineStr">
        <is>
          <t>BV823 .B36313 1988</t>
        </is>
      </c>
      <c r="C1144" t="inlineStr">
        <is>
          <t>0                      BV 0823000B  36313       1988</t>
        </is>
      </c>
      <c r="D1144" t="inlineStr">
        <is>
          <t>Rediscovering the Lord's Supper : communion with Israel, with Christ, and among the guests / Markus Barth.</t>
        </is>
      </c>
      <c r="F1144" t="inlineStr">
        <is>
          <t>No</t>
        </is>
      </c>
      <c r="G1144" t="inlineStr">
        <is>
          <t>1</t>
        </is>
      </c>
      <c r="H1144" t="inlineStr">
        <is>
          <t>No</t>
        </is>
      </c>
      <c r="I1144" t="inlineStr">
        <is>
          <t>No</t>
        </is>
      </c>
      <c r="J1144" t="inlineStr">
        <is>
          <t>0</t>
        </is>
      </c>
      <c r="K1144" t="inlineStr">
        <is>
          <t>Barth, Markus.</t>
        </is>
      </c>
      <c r="L1144" t="inlineStr">
        <is>
          <t>Atlanta : J. Knox Press, c1988.</t>
        </is>
      </c>
      <c r="M1144" t="inlineStr">
        <is>
          <t>1988</t>
        </is>
      </c>
      <c r="O1144" t="inlineStr">
        <is>
          <t>eng</t>
        </is>
      </c>
      <c r="P1144" t="inlineStr">
        <is>
          <t>gau</t>
        </is>
      </c>
      <c r="R1144" t="inlineStr">
        <is>
          <t xml:space="preserve">BV </t>
        </is>
      </c>
      <c r="S1144" t="n">
        <v>8</v>
      </c>
      <c r="T1144" t="n">
        <v>8</v>
      </c>
      <c r="U1144" t="inlineStr">
        <is>
          <t>1999-04-29</t>
        </is>
      </c>
      <c r="V1144" t="inlineStr">
        <is>
          <t>1999-04-29</t>
        </is>
      </c>
      <c r="W1144" t="inlineStr">
        <is>
          <t>1990-04-23</t>
        </is>
      </c>
      <c r="X1144" t="inlineStr">
        <is>
          <t>1990-04-23</t>
        </is>
      </c>
      <c r="Y1144" t="n">
        <v>262</v>
      </c>
      <c r="Z1144" t="n">
        <v>219</v>
      </c>
      <c r="AA1144" t="n">
        <v>235</v>
      </c>
      <c r="AB1144" t="n">
        <v>2</v>
      </c>
      <c r="AC1144" t="n">
        <v>3</v>
      </c>
      <c r="AD1144" t="n">
        <v>17</v>
      </c>
      <c r="AE1144" t="n">
        <v>19</v>
      </c>
      <c r="AF1144" t="n">
        <v>8</v>
      </c>
      <c r="AG1144" t="n">
        <v>9</v>
      </c>
      <c r="AH1144" t="n">
        <v>4</v>
      </c>
      <c r="AI1144" t="n">
        <v>5</v>
      </c>
      <c r="AJ1144" t="n">
        <v>11</v>
      </c>
      <c r="AK1144" t="n">
        <v>11</v>
      </c>
      <c r="AL1144" t="n">
        <v>1</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HYPERLINK("https://creighton-primo.hosted.exlibrisgroup.com/primo-explore/search?tab=default_tab&amp;search_scope=EVERYTHING&amp;vid=01CRU&amp;lang=en_US&amp;offset=0&amp;query=any,contains,991001185099702656","Catalog Record")</f>
        <v/>
      </c>
      <c r="AT1144">
        <f>HYPERLINK("http://www.worldcat.org/oclc/17201394","WorldCat Record")</f>
        <v/>
      </c>
      <c r="AU1144" t="inlineStr">
        <is>
          <t>15400418:eng</t>
        </is>
      </c>
      <c r="AV1144" t="inlineStr">
        <is>
          <t>17201394</t>
        </is>
      </c>
      <c r="AW1144" t="inlineStr">
        <is>
          <t>991001185099702656</t>
        </is>
      </c>
      <c r="AX1144" t="inlineStr">
        <is>
          <t>991001185099702656</t>
        </is>
      </c>
      <c r="AY1144" t="inlineStr">
        <is>
          <t>2259252970002656</t>
        </is>
      </c>
      <c r="AZ1144" t="inlineStr">
        <is>
          <t>BOOK</t>
        </is>
      </c>
      <c r="BB1144" t="inlineStr">
        <is>
          <t>9780804237499</t>
        </is>
      </c>
      <c r="BC1144" t="inlineStr">
        <is>
          <t>32285000131002</t>
        </is>
      </c>
      <c r="BD1144" t="inlineStr">
        <is>
          <t>893231774</t>
        </is>
      </c>
    </row>
    <row r="1145">
      <c r="A1145" t="inlineStr">
        <is>
          <t>No</t>
        </is>
      </c>
      <c r="B1145" t="inlineStr">
        <is>
          <t>BV823 .B613 1968</t>
        </is>
      </c>
      <c r="C1145" t="inlineStr">
        <is>
          <t>0                      BV 0823000B  613         1968</t>
        </is>
      </c>
      <c r="D1145" t="inlineStr">
        <is>
          <t>Eucharist : theology and spirituality of the eucharistic prayer / Louis Bouyer. Translated by Charles Underhill Quinn.</t>
        </is>
      </c>
      <c r="F1145" t="inlineStr">
        <is>
          <t>No</t>
        </is>
      </c>
      <c r="G1145" t="inlineStr">
        <is>
          <t>1</t>
        </is>
      </c>
      <c r="H1145" t="inlineStr">
        <is>
          <t>No</t>
        </is>
      </c>
      <c r="I1145" t="inlineStr">
        <is>
          <t>No</t>
        </is>
      </c>
      <c r="J1145" t="inlineStr">
        <is>
          <t>0</t>
        </is>
      </c>
      <c r="K1145" t="inlineStr">
        <is>
          <t>Bouyer, Louis, 1913-2004.</t>
        </is>
      </c>
      <c r="L1145" t="inlineStr">
        <is>
          <t>Notre Dame, [Ind.] : University of Notre Dame Press, [1968]</t>
        </is>
      </c>
      <c r="M1145" t="inlineStr">
        <is>
          <t>1968</t>
        </is>
      </c>
      <c r="O1145" t="inlineStr">
        <is>
          <t>eng</t>
        </is>
      </c>
      <c r="P1145" t="inlineStr">
        <is>
          <t>inu</t>
        </is>
      </c>
      <c r="R1145" t="inlineStr">
        <is>
          <t xml:space="preserve">BV </t>
        </is>
      </c>
      <c r="S1145" t="n">
        <v>8</v>
      </c>
      <c r="T1145" t="n">
        <v>8</v>
      </c>
      <c r="U1145" t="inlineStr">
        <is>
          <t>2004-11-13</t>
        </is>
      </c>
      <c r="V1145" t="inlineStr">
        <is>
          <t>2004-11-13</t>
        </is>
      </c>
      <c r="W1145" t="inlineStr">
        <is>
          <t>1992-01-23</t>
        </is>
      </c>
      <c r="X1145" t="inlineStr">
        <is>
          <t>1992-01-23</t>
        </is>
      </c>
      <c r="Y1145" t="n">
        <v>519</v>
      </c>
      <c r="Z1145" t="n">
        <v>428</v>
      </c>
      <c r="AA1145" t="n">
        <v>449</v>
      </c>
      <c r="AB1145" t="n">
        <v>6</v>
      </c>
      <c r="AC1145" t="n">
        <v>7</v>
      </c>
      <c r="AD1145" t="n">
        <v>40</v>
      </c>
      <c r="AE1145" t="n">
        <v>43</v>
      </c>
      <c r="AF1145" t="n">
        <v>14</v>
      </c>
      <c r="AG1145" t="n">
        <v>16</v>
      </c>
      <c r="AH1145" t="n">
        <v>10</v>
      </c>
      <c r="AI1145" t="n">
        <v>11</v>
      </c>
      <c r="AJ1145" t="n">
        <v>25</v>
      </c>
      <c r="AK1145" t="n">
        <v>25</v>
      </c>
      <c r="AL1145" t="n">
        <v>3</v>
      </c>
      <c r="AM1145" t="n">
        <v>4</v>
      </c>
      <c r="AN1145" t="n">
        <v>0</v>
      </c>
      <c r="AO1145" t="n">
        <v>0</v>
      </c>
      <c r="AP1145" t="inlineStr">
        <is>
          <t>No</t>
        </is>
      </c>
      <c r="AQ1145" t="inlineStr">
        <is>
          <t>Yes</t>
        </is>
      </c>
      <c r="AR1145">
        <f>HYPERLINK("http://catalog.hathitrust.org/Record/000158423","HathiTrust Record")</f>
        <v/>
      </c>
      <c r="AS1145">
        <f>HYPERLINK("https://creighton-primo.hosted.exlibrisgroup.com/primo-explore/search?tab=default_tab&amp;search_scope=EVERYTHING&amp;vid=01CRU&amp;lang=en_US&amp;offset=0&amp;query=any,contains,991002779489702656","Catalog Record")</f>
        <v/>
      </c>
      <c r="AT1145">
        <f>HYPERLINK("http://www.worldcat.org/oclc/439775","WorldCat Record")</f>
        <v/>
      </c>
      <c r="AU1145" t="inlineStr">
        <is>
          <t>3856867085:eng</t>
        </is>
      </c>
      <c r="AV1145" t="inlineStr">
        <is>
          <t>439775</t>
        </is>
      </c>
      <c r="AW1145" t="inlineStr">
        <is>
          <t>991002779489702656</t>
        </is>
      </c>
      <c r="AX1145" t="inlineStr">
        <is>
          <t>991002779489702656</t>
        </is>
      </c>
      <c r="AY1145" t="inlineStr">
        <is>
          <t>2266524120002656</t>
        </is>
      </c>
      <c r="AZ1145" t="inlineStr">
        <is>
          <t>BOOK</t>
        </is>
      </c>
      <c r="BC1145" t="inlineStr">
        <is>
          <t>32285000925221</t>
        </is>
      </c>
      <c r="BD1145" t="inlineStr">
        <is>
          <t>893805029</t>
        </is>
      </c>
    </row>
    <row r="1146">
      <c r="A1146" t="inlineStr">
        <is>
          <t>No</t>
        </is>
      </c>
      <c r="B1146" t="inlineStr">
        <is>
          <t>BV823 .B73 1965</t>
        </is>
      </c>
      <c r="C1146" t="inlineStr">
        <is>
          <t>0                      BV 0823000B  73          1965</t>
        </is>
      </c>
      <c r="D1146" t="inlineStr">
        <is>
          <t>Eucharistic faith and practice : Evangelical and Catholic / by Yngve Brilioth. Authorised translation by A. G. Hebert.</t>
        </is>
      </c>
      <c r="F1146" t="inlineStr">
        <is>
          <t>No</t>
        </is>
      </c>
      <c r="G1146" t="inlineStr">
        <is>
          <t>1</t>
        </is>
      </c>
      <c r="H1146" t="inlineStr">
        <is>
          <t>No</t>
        </is>
      </c>
      <c r="I1146" t="inlineStr">
        <is>
          <t>No</t>
        </is>
      </c>
      <c r="J1146" t="inlineStr">
        <is>
          <t>0</t>
        </is>
      </c>
      <c r="K1146" t="inlineStr">
        <is>
          <t>Brilioth, Yngve, 1891-1959.</t>
        </is>
      </c>
      <c r="L1146" t="inlineStr">
        <is>
          <t>London : Society for promoting Christian knowledge, 1965.</t>
        </is>
      </c>
      <c r="M1146" t="inlineStr">
        <is>
          <t>1965</t>
        </is>
      </c>
      <c r="O1146" t="inlineStr">
        <is>
          <t>eng</t>
        </is>
      </c>
      <c r="P1146" t="inlineStr">
        <is>
          <t>enk</t>
        </is>
      </c>
      <c r="R1146" t="inlineStr">
        <is>
          <t xml:space="preserve">BV </t>
        </is>
      </c>
      <c r="S1146" t="n">
        <v>9</v>
      </c>
      <c r="T1146" t="n">
        <v>9</v>
      </c>
      <c r="U1146" t="inlineStr">
        <is>
          <t>2010-04-23</t>
        </is>
      </c>
      <c r="V1146" t="inlineStr">
        <is>
          <t>2010-04-23</t>
        </is>
      </c>
      <c r="W1146" t="inlineStr">
        <is>
          <t>1990-04-04</t>
        </is>
      </c>
      <c r="X1146" t="inlineStr">
        <is>
          <t>1990-04-04</t>
        </is>
      </c>
      <c r="Y1146" t="n">
        <v>71</v>
      </c>
      <c r="Z1146" t="n">
        <v>58</v>
      </c>
      <c r="AA1146" t="n">
        <v>276</v>
      </c>
      <c r="AB1146" t="n">
        <v>2</v>
      </c>
      <c r="AC1146" t="n">
        <v>5</v>
      </c>
      <c r="AD1146" t="n">
        <v>4</v>
      </c>
      <c r="AE1146" t="n">
        <v>21</v>
      </c>
      <c r="AF1146" t="n">
        <v>2</v>
      </c>
      <c r="AG1146" t="n">
        <v>6</v>
      </c>
      <c r="AH1146" t="n">
        <v>0</v>
      </c>
      <c r="AI1146" t="n">
        <v>4</v>
      </c>
      <c r="AJ1146" t="n">
        <v>3</v>
      </c>
      <c r="AK1146" t="n">
        <v>11</v>
      </c>
      <c r="AL1146" t="n">
        <v>0</v>
      </c>
      <c r="AM1146" t="n">
        <v>3</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HYPERLINK("https://creighton-primo.hosted.exlibrisgroup.com/primo-explore/search?tab=default_tab&amp;search_scope=EVERYTHING&amp;vid=01CRU&amp;lang=en_US&amp;offset=0&amp;query=any,contains,991002572869702656","Catalog Record")</f>
        <v/>
      </c>
      <c r="AT1146">
        <f>HYPERLINK("http://www.worldcat.org/oclc/374140","WorldCat Record")</f>
        <v/>
      </c>
      <c r="AU1146" t="inlineStr">
        <is>
          <t>10324640:eng</t>
        </is>
      </c>
      <c r="AV1146" t="inlineStr">
        <is>
          <t>374140</t>
        </is>
      </c>
      <c r="AW1146" t="inlineStr">
        <is>
          <t>991002572869702656</t>
        </is>
      </c>
      <c r="AX1146" t="inlineStr">
        <is>
          <t>991002572869702656</t>
        </is>
      </c>
      <c r="AY1146" t="inlineStr">
        <is>
          <t>2262136900002656</t>
        </is>
      </c>
      <c r="AZ1146" t="inlineStr">
        <is>
          <t>BOOK</t>
        </is>
      </c>
      <c r="BC1146" t="inlineStr">
        <is>
          <t>32285000111434</t>
        </is>
      </c>
      <c r="BD1146" t="inlineStr">
        <is>
          <t>893239231</t>
        </is>
      </c>
    </row>
    <row r="1147">
      <c r="A1147" t="inlineStr">
        <is>
          <t>No</t>
        </is>
      </c>
      <c r="B1147" t="inlineStr">
        <is>
          <t>BV823 .E44</t>
        </is>
      </c>
      <c r="C1147" t="inlineStr">
        <is>
          <t>0                      BV 0823000E  44</t>
        </is>
      </c>
      <c r="D1147" t="inlineStr">
        <is>
          <t>Eucharist and church fellowship in the first four centuries / by Werner Elert. Translated from the German by N.E.Nagel.</t>
        </is>
      </c>
      <c r="F1147" t="inlineStr">
        <is>
          <t>No</t>
        </is>
      </c>
      <c r="G1147" t="inlineStr">
        <is>
          <t>1</t>
        </is>
      </c>
      <c r="H1147" t="inlineStr">
        <is>
          <t>No</t>
        </is>
      </c>
      <c r="I1147" t="inlineStr">
        <is>
          <t>No</t>
        </is>
      </c>
      <c r="J1147" t="inlineStr">
        <is>
          <t>0</t>
        </is>
      </c>
      <c r="K1147" t="inlineStr">
        <is>
          <t>Elert, Werner, 1885-1954.</t>
        </is>
      </c>
      <c r="L1147" t="inlineStr">
        <is>
          <t>St. Louis, Concordia Pub. House [1966]</t>
        </is>
      </c>
      <c r="M1147" t="inlineStr">
        <is>
          <t>1966</t>
        </is>
      </c>
      <c r="O1147" t="inlineStr">
        <is>
          <t>eng</t>
        </is>
      </c>
      <c r="P1147" t="inlineStr">
        <is>
          <t>mou</t>
        </is>
      </c>
      <c r="R1147" t="inlineStr">
        <is>
          <t xml:space="preserve">BV </t>
        </is>
      </c>
      <c r="S1147" t="n">
        <v>3</v>
      </c>
      <c r="T1147" t="n">
        <v>3</v>
      </c>
      <c r="U1147" t="inlineStr">
        <is>
          <t>1997-09-19</t>
        </is>
      </c>
      <c r="V1147" t="inlineStr">
        <is>
          <t>1997-09-19</t>
        </is>
      </c>
      <c r="W1147" t="inlineStr">
        <is>
          <t>1992-01-23</t>
        </is>
      </c>
      <c r="X1147" t="inlineStr">
        <is>
          <t>1992-01-23</t>
        </is>
      </c>
      <c r="Y1147" t="n">
        <v>317</v>
      </c>
      <c r="Z1147" t="n">
        <v>264</v>
      </c>
      <c r="AA1147" t="n">
        <v>264</v>
      </c>
      <c r="AB1147" t="n">
        <v>2</v>
      </c>
      <c r="AC1147" t="n">
        <v>2</v>
      </c>
      <c r="AD1147" t="n">
        <v>27</v>
      </c>
      <c r="AE1147" t="n">
        <v>27</v>
      </c>
      <c r="AF1147" t="n">
        <v>9</v>
      </c>
      <c r="AG1147" t="n">
        <v>9</v>
      </c>
      <c r="AH1147" t="n">
        <v>5</v>
      </c>
      <c r="AI1147" t="n">
        <v>5</v>
      </c>
      <c r="AJ1147" t="n">
        <v>15</v>
      </c>
      <c r="AK1147" t="n">
        <v>15</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HYPERLINK("https://creighton-primo.hosted.exlibrisgroup.com/primo-explore/search?tab=default_tab&amp;search_scope=EVERYTHING&amp;vid=01CRU&amp;lang=en_US&amp;offset=0&amp;query=any,contains,991004251699702656","Catalog Record")</f>
        <v/>
      </c>
      <c r="AT1147">
        <f>HYPERLINK("http://www.worldcat.org/oclc/2814929","WorldCat Record")</f>
        <v/>
      </c>
      <c r="AU1147" t="inlineStr">
        <is>
          <t>9349892750:eng</t>
        </is>
      </c>
      <c r="AV1147" t="inlineStr">
        <is>
          <t>2814929</t>
        </is>
      </c>
      <c r="AW1147" t="inlineStr">
        <is>
          <t>991004251699702656</t>
        </is>
      </c>
      <c r="AX1147" t="inlineStr">
        <is>
          <t>991004251699702656</t>
        </is>
      </c>
      <c r="AY1147" t="inlineStr">
        <is>
          <t>2261527410002656</t>
        </is>
      </c>
      <c r="AZ1147" t="inlineStr">
        <is>
          <t>BOOK</t>
        </is>
      </c>
      <c r="BC1147" t="inlineStr">
        <is>
          <t>32285000925304</t>
        </is>
      </c>
      <c r="BD1147" t="inlineStr">
        <is>
          <t>893904776</t>
        </is>
      </c>
    </row>
    <row r="1148">
      <c r="A1148" t="inlineStr">
        <is>
          <t>No</t>
        </is>
      </c>
      <c r="B1148" t="inlineStr">
        <is>
          <t>BV823 .H37 1975</t>
        </is>
      </c>
      <c r="C1148" t="inlineStr">
        <is>
          <t>0                      BV 0823000H  37          1975</t>
        </is>
      </c>
      <c r="D1148" t="inlineStr">
        <is>
          <t>Eucharist and excommunication : a study in early Christian doctrine and discipline / Kenneth Hein.</t>
        </is>
      </c>
      <c r="F1148" t="inlineStr">
        <is>
          <t>No</t>
        </is>
      </c>
      <c r="G1148" t="inlineStr">
        <is>
          <t>1</t>
        </is>
      </c>
      <c r="H1148" t="inlineStr">
        <is>
          <t>No</t>
        </is>
      </c>
      <c r="I1148" t="inlineStr">
        <is>
          <t>No</t>
        </is>
      </c>
      <c r="J1148" t="inlineStr">
        <is>
          <t>0</t>
        </is>
      </c>
      <c r="K1148" t="inlineStr">
        <is>
          <t>Hein, Kenneth.</t>
        </is>
      </c>
      <c r="L1148" t="inlineStr">
        <is>
          <t>Bern : Herbert Lang, 1975.</t>
        </is>
      </c>
      <c r="M1148" t="inlineStr">
        <is>
          <t>1975</t>
        </is>
      </c>
      <c r="N1148" t="inlineStr">
        <is>
          <t>2d, rev. ed.</t>
        </is>
      </c>
      <c r="O1148" t="inlineStr">
        <is>
          <t>eng</t>
        </is>
      </c>
      <c r="P1148" t="inlineStr">
        <is>
          <t xml:space="preserve">sz </t>
        </is>
      </c>
      <c r="Q1148" t="inlineStr">
        <is>
          <t>European university papers. Series 23: Theology, v. 19</t>
        </is>
      </c>
      <c r="R1148" t="inlineStr">
        <is>
          <t xml:space="preserve">BV </t>
        </is>
      </c>
      <c r="S1148" t="n">
        <v>3</v>
      </c>
      <c r="T1148" t="n">
        <v>3</v>
      </c>
      <c r="U1148" t="inlineStr">
        <is>
          <t>1997-09-15</t>
        </is>
      </c>
      <c r="V1148" t="inlineStr">
        <is>
          <t>1997-09-15</t>
        </is>
      </c>
      <c r="W1148" t="inlineStr">
        <is>
          <t>1990-04-23</t>
        </is>
      </c>
      <c r="X1148" t="inlineStr">
        <is>
          <t>1990-04-23</t>
        </is>
      </c>
      <c r="Y1148" t="n">
        <v>56</v>
      </c>
      <c r="Z1148" t="n">
        <v>37</v>
      </c>
      <c r="AA1148" t="n">
        <v>130</v>
      </c>
      <c r="AB1148" t="n">
        <v>1</v>
      </c>
      <c r="AC1148" t="n">
        <v>2</v>
      </c>
      <c r="AD1148" t="n">
        <v>2</v>
      </c>
      <c r="AE1148" t="n">
        <v>9</v>
      </c>
      <c r="AF1148" t="n">
        <v>0</v>
      </c>
      <c r="AG1148" t="n">
        <v>2</v>
      </c>
      <c r="AH1148" t="n">
        <v>1</v>
      </c>
      <c r="AI1148" t="n">
        <v>3</v>
      </c>
      <c r="AJ1148" t="n">
        <v>2</v>
      </c>
      <c r="AK1148" t="n">
        <v>6</v>
      </c>
      <c r="AL1148" t="n">
        <v>0</v>
      </c>
      <c r="AM1148" t="n">
        <v>1</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HYPERLINK("https://creighton-primo.hosted.exlibrisgroup.com/primo-explore/search?tab=default_tab&amp;search_scope=EVERYTHING&amp;vid=01CRU&amp;lang=en_US&amp;offset=0&amp;query=any,contains,991003975449702656","Catalog Record")</f>
        <v/>
      </c>
      <c r="AT1148">
        <f>HYPERLINK("http://www.worldcat.org/oclc/2003491","WorldCat Record")</f>
        <v/>
      </c>
      <c r="AU1148" t="inlineStr">
        <is>
          <t>1626209:eng</t>
        </is>
      </c>
      <c r="AV1148" t="inlineStr">
        <is>
          <t>2003491</t>
        </is>
      </c>
      <c r="AW1148" t="inlineStr">
        <is>
          <t>991003975449702656</t>
        </is>
      </c>
      <c r="AX1148" t="inlineStr">
        <is>
          <t>991003975449702656</t>
        </is>
      </c>
      <c r="AY1148" t="inlineStr">
        <is>
          <t>2261483400002656</t>
        </is>
      </c>
      <c r="AZ1148" t="inlineStr">
        <is>
          <t>BOOK</t>
        </is>
      </c>
      <c r="BC1148" t="inlineStr">
        <is>
          <t>32285000131010</t>
        </is>
      </c>
      <c r="BD1148" t="inlineStr">
        <is>
          <t>893410960</t>
        </is>
      </c>
    </row>
    <row r="1149">
      <c r="A1149" t="inlineStr">
        <is>
          <t>No</t>
        </is>
      </c>
      <c r="B1149" t="inlineStr">
        <is>
          <t>BV823 .J86 1976</t>
        </is>
      </c>
      <c r="C1149" t="inlineStr">
        <is>
          <t>0                      BV 0823000J  86          1976</t>
        </is>
      </c>
      <c r="D1149" t="inlineStr">
        <is>
          <t>The Mass : an historical, theological, and pastoral survey / by Josef A. Jungmann ; translated by Julian Fernandes ; edited by Mary Ellen Evans.</t>
        </is>
      </c>
      <c r="F1149" t="inlineStr">
        <is>
          <t>No</t>
        </is>
      </c>
      <c r="G1149" t="inlineStr">
        <is>
          <t>1</t>
        </is>
      </c>
      <c r="H1149" t="inlineStr">
        <is>
          <t>No</t>
        </is>
      </c>
      <c r="I1149" t="inlineStr">
        <is>
          <t>No</t>
        </is>
      </c>
      <c r="J1149" t="inlineStr">
        <is>
          <t>0</t>
        </is>
      </c>
      <c r="K1149" t="inlineStr">
        <is>
          <t>Jungmann, Josef A. (Josef Andreas), 1889-1975.</t>
        </is>
      </c>
      <c r="L1149" t="inlineStr">
        <is>
          <t>Collegeville, Minn. : Liturgical Press, c1976.</t>
        </is>
      </c>
      <c r="M1149" t="inlineStr">
        <is>
          <t>1976</t>
        </is>
      </c>
      <c r="O1149" t="inlineStr">
        <is>
          <t>eng</t>
        </is>
      </c>
      <c r="P1149" t="inlineStr">
        <is>
          <t>mnu</t>
        </is>
      </c>
      <c r="R1149" t="inlineStr">
        <is>
          <t xml:space="preserve">BV </t>
        </is>
      </c>
      <c r="S1149" t="n">
        <v>8</v>
      </c>
      <c r="T1149" t="n">
        <v>8</v>
      </c>
      <c r="U1149" t="inlineStr">
        <is>
          <t>2008-03-10</t>
        </is>
      </c>
      <c r="V1149" t="inlineStr">
        <is>
          <t>2008-03-10</t>
        </is>
      </c>
      <c r="W1149" t="inlineStr">
        <is>
          <t>1991-11-06</t>
        </is>
      </c>
      <c r="X1149" t="inlineStr">
        <is>
          <t>1991-11-06</t>
        </is>
      </c>
      <c r="Y1149" t="n">
        <v>420</v>
      </c>
      <c r="Z1149" t="n">
        <v>350</v>
      </c>
      <c r="AA1149" t="n">
        <v>355</v>
      </c>
      <c r="AB1149" t="n">
        <v>5</v>
      </c>
      <c r="AC1149" t="n">
        <v>5</v>
      </c>
      <c r="AD1149" t="n">
        <v>31</v>
      </c>
      <c r="AE1149" t="n">
        <v>31</v>
      </c>
      <c r="AF1149" t="n">
        <v>10</v>
      </c>
      <c r="AG1149" t="n">
        <v>10</v>
      </c>
      <c r="AH1149" t="n">
        <v>8</v>
      </c>
      <c r="AI1149" t="n">
        <v>8</v>
      </c>
      <c r="AJ1149" t="n">
        <v>21</v>
      </c>
      <c r="AK1149" t="n">
        <v>21</v>
      </c>
      <c r="AL1149" t="n">
        <v>3</v>
      </c>
      <c r="AM1149" t="n">
        <v>3</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HYPERLINK("https://creighton-primo.hosted.exlibrisgroup.com/primo-explore/search?tab=default_tab&amp;search_scope=EVERYTHING&amp;vid=01CRU&amp;lang=en_US&amp;offset=0&amp;query=any,contains,991003975529702656","Catalog Record")</f>
        <v/>
      </c>
      <c r="AT1149">
        <f>HYPERLINK("http://www.worldcat.org/oclc/2004501","WorldCat Record")</f>
        <v/>
      </c>
      <c r="AU1149" t="inlineStr">
        <is>
          <t>1149286798:eng</t>
        </is>
      </c>
      <c r="AV1149" t="inlineStr">
        <is>
          <t>2004501</t>
        </is>
      </c>
      <c r="AW1149" t="inlineStr">
        <is>
          <t>991003975529702656</t>
        </is>
      </c>
      <c r="AX1149" t="inlineStr">
        <is>
          <t>991003975529702656</t>
        </is>
      </c>
      <c r="AY1149" t="inlineStr">
        <is>
          <t>2258402480002656</t>
        </is>
      </c>
      <c r="AZ1149" t="inlineStr">
        <is>
          <t>BOOK</t>
        </is>
      </c>
      <c r="BB1149" t="inlineStr">
        <is>
          <t>9780814608876</t>
        </is>
      </c>
      <c r="BC1149" t="inlineStr">
        <is>
          <t>32285000796754</t>
        </is>
      </c>
      <c r="BD1149" t="inlineStr">
        <is>
          <t>893429496</t>
        </is>
      </c>
    </row>
    <row r="1150">
      <c r="A1150" t="inlineStr">
        <is>
          <t>No</t>
        </is>
      </c>
      <c r="B1150" t="inlineStr">
        <is>
          <t>BV823 .L329 1998</t>
        </is>
      </c>
      <c r="C1150" t="inlineStr">
        <is>
          <t>0                      BV 0823000L  329         1998</t>
        </is>
      </c>
      <c r="D1150" t="inlineStr">
        <is>
          <t>The breaking of the bread : the development of the Eucharist according to the Acts of the Apostles / Eugene LaVerdiere.</t>
        </is>
      </c>
      <c r="F1150" t="inlineStr">
        <is>
          <t>No</t>
        </is>
      </c>
      <c r="G1150" t="inlineStr">
        <is>
          <t>1</t>
        </is>
      </c>
      <c r="H1150" t="inlineStr">
        <is>
          <t>No</t>
        </is>
      </c>
      <c r="I1150" t="inlineStr">
        <is>
          <t>No</t>
        </is>
      </c>
      <c r="J1150" t="inlineStr">
        <is>
          <t>0</t>
        </is>
      </c>
      <c r="K1150" t="inlineStr">
        <is>
          <t>LaVerdiere, Eugene.</t>
        </is>
      </c>
      <c r="L1150" t="inlineStr">
        <is>
          <t>Chicago, IL : Liturgy Training Publications, c1998.</t>
        </is>
      </c>
      <c r="M1150" t="inlineStr">
        <is>
          <t>1998</t>
        </is>
      </c>
      <c r="O1150" t="inlineStr">
        <is>
          <t>eng</t>
        </is>
      </c>
      <c r="P1150" t="inlineStr">
        <is>
          <t>ilu</t>
        </is>
      </c>
      <c r="R1150" t="inlineStr">
        <is>
          <t xml:space="preserve">BV </t>
        </is>
      </c>
      <c r="S1150" t="n">
        <v>1</v>
      </c>
      <c r="T1150" t="n">
        <v>1</v>
      </c>
      <c r="U1150" t="inlineStr">
        <is>
          <t>2007-12-10</t>
        </is>
      </c>
      <c r="V1150" t="inlineStr">
        <is>
          <t>2007-12-10</t>
        </is>
      </c>
      <c r="W1150" t="inlineStr">
        <is>
          <t>2007-12-10</t>
        </is>
      </c>
      <c r="X1150" t="inlineStr">
        <is>
          <t>2007-12-10</t>
        </is>
      </c>
      <c r="Y1150" t="n">
        <v>142</v>
      </c>
      <c r="Z1150" t="n">
        <v>123</v>
      </c>
      <c r="AA1150" t="n">
        <v>129</v>
      </c>
      <c r="AB1150" t="n">
        <v>1</v>
      </c>
      <c r="AC1150" t="n">
        <v>1</v>
      </c>
      <c r="AD1150" t="n">
        <v>13</v>
      </c>
      <c r="AE1150" t="n">
        <v>13</v>
      </c>
      <c r="AF1150" t="n">
        <v>4</v>
      </c>
      <c r="AG1150" t="n">
        <v>4</v>
      </c>
      <c r="AH1150" t="n">
        <v>3</v>
      </c>
      <c r="AI1150" t="n">
        <v>3</v>
      </c>
      <c r="AJ1150" t="n">
        <v>9</v>
      </c>
      <c r="AK1150" t="n">
        <v>9</v>
      </c>
      <c r="AL1150" t="n">
        <v>0</v>
      </c>
      <c r="AM1150" t="n">
        <v>0</v>
      </c>
      <c r="AN1150" t="n">
        <v>0</v>
      </c>
      <c r="AO1150" t="n">
        <v>0</v>
      </c>
      <c r="AP1150" t="inlineStr">
        <is>
          <t>No</t>
        </is>
      </c>
      <c r="AQ1150" t="inlineStr">
        <is>
          <t>Yes</t>
        </is>
      </c>
      <c r="AR1150">
        <f>HYPERLINK("http://catalog.hathitrust.org/Record/005993725","HathiTrust Record")</f>
        <v/>
      </c>
      <c r="AS1150">
        <f>HYPERLINK("https://creighton-primo.hosted.exlibrisgroup.com/primo-explore/search?tab=default_tab&amp;search_scope=EVERYTHING&amp;vid=01CRU&amp;lang=en_US&amp;offset=0&amp;query=any,contains,991005153359702656","Catalog Record")</f>
        <v/>
      </c>
      <c r="AT1150">
        <f>HYPERLINK("http://www.worldcat.org/oclc/38390935","WorldCat Record")</f>
        <v/>
      </c>
      <c r="AU1150" t="inlineStr">
        <is>
          <t>680452:eng</t>
        </is>
      </c>
      <c r="AV1150" t="inlineStr">
        <is>
          <t>38390935</t>
        </is>
      </c>
      <c r="AW1150" t="inlineStr">
        <is>
          <t>991005153359702656</t>
        </is>
      </c>
      <c r="AX1150" t="inlineStr">
        <is>
          <t>991005153359702656</t>
        </is>
      </c>
      <c r="AY1150" t="inlineStr">
        <is>
          <t>2267577220002656</t>
        </is>
      </c>
      <c r="AZ1150" t="inlineStr">
        <is>
          <t>BOOK</t>
        </is>
      </c>
      <c r="BB1150" t="inlineStr">
        <is>
          <t>9781568541488</t>
        </is>
      </c>
      <c r="BC1150" t="inlineStr">
        <is>
          <t>32285005370993</t>
        </is>
      </c>
      <c r="BD1150" t="inlineStr">
        <is>
          <t>893694828</t>
        </is>
      </c>
    </row>
    <row r="1151">
      <c r="A1151" t="inlineStr">
        <is>
          <t>No</t>
        </is>
      </c>
      <c r="B1151" t="inlineStr">
        <is>
          <t>BV823 .M57 1975</t>
        </is>
      </c>
      <c r="C1151" t="inlineStr">
        <is>
          <t>0                      BV 0823000M  57          1975</t>
        </is>
      </c>
      <c r="D1151" t="inlineStr">
        <is>
          <t>Die Lehre von der Eucharistie als Opfer : eine dogmengeschichtliche Untersuchung vom Neuen Testament bis Irenäus von Lyon / von Helmut Moll.</t>
        </is>
      </c>
      <c r="F1151" t="inlineStr">
        <is>
          <t>No</t>
        </is>
      </c>
      <c r="G1151" t="inlineStr">
        <is>
          <t>1</t>
        </is>
      </c>
      <c r="H1151" t="inlineStr">
        <is>
          <t>No</t>
        </is>
      </c>
      <c r="I1151" t="inlineStr">
        <is>
          <t>No</t>
        </is>
      </c>
      <c r="J1151" t="inlineStr">
        <is>
          <t>0</t>
        </is>
      </c>
      <c r="K1151" t="inlineStr">
        <is>
          <t>Moll, Helmut.</t>
        </is>
      </c>
      <c r="L1151" t="inlineStr">
        <is>
          <t>Köln : P. Hanstein, 1975.</t>
        </is>
      </c>
      <c r="M1151" t="inlineStr">
        <is>
          <t>1975</t>
        </is>
      </c>
      <c r="O1151" t="inlineStr">
        <is>
          <t>ger</t>
        </is>
      </c>
      <c r="P1151" t="inlineStr">
        <is>
          <t xml:space="preserve">gw </t>
        </is>
      </c>
      <c r="Q1151" t="inlineStr">
        <is>
          <t>Theophaneia : Beiträge zur Religions- und Kirchengeschichte des Altertums ; 26</t>
        </is>
      </c>
      <c r="R1151" t="inlineStr">
        <is>
          <t xml:space="preserve">BV </t>
        </is>
      </c>
      <c r="S1151" t="n">
        <v>0</v>
      </c>
      <c r="T1151" t="n">
        <v>0</v>
      </c>
      <c r="U1151" t="inlineStr">
        <is>
          <t>2008-12-15</t>
        </is>
      </c>
      <c r="V1151" t="inlineStr">
        <is>
          <t>2008-12-15</t>
        </is>
      </c>
      <c r="W1151" t="inlineStr">
        <is>
          <t>1992-01-24</t>
        </is>
      </c>
      <c r="X1151" t="inlineStr">
        <is>
          <t>1992-01-24</t>
        </is>
      </c>
      <c r="Y1151" t="n">
        <v>105</v>
      </c>
      <c r="Z1151" t="n">
        <v>62</v>
      </c>
      <c r="AA1151" t="n">
        <v>64</v>
      </c>
      <c r="AB1151" t="n">
        <v>1</v>
      </c>
      <c r="AC1151" t="n">
        <v>1</v>
      </c>
      <c r="AD1151" t="n">
        <v>5</v>
      </c>
      <c r="AE1151" t="n">
        <v>5</v>
      </c>
      <c r="AF1151" t="n">
        <v>0</v>
      </c>
      <c r="AG1151" t="n">
        <v>0</v>
      </c>
      <c r="AH1151" t="n">
        <v>2</v>
      </c>
      <c r="AI1151" t="n">
        <v>2</v>
      </c>
      <c r="AJ1151" t="n">
        <v>4</v>
      </c>
      <c r="AK1151" t="n">
        <v>4</v>
      </c>
      <c r="AL1151" t="n">
        <v>0</v>
      </c>
      <c r="AM1151" t="n">
        <v>0</v>
      </c>
      <c r="AN1151" t="n">
        <v>0</v>
      </c>
      <c r="AO1151" t="n">
        <v>0</v>
      </c>
      <c r="AP1151" t="inlineStr">
        <is>
          <t>No</t>
        </is>
      </c>
      <c r="AQ1151" t="inlineStr">
        <is>
          <t>Yes</t>
        </is>
      </c>
      <c r="AR1151">
        <f>HYPERLINK("http://catalog.hathitrust.org/Record/000701332","HathiTrust Record")</f>
        <v/>
      </c>
      <c r="AS1151">
        <f>HYPERLINK("https://creighton-primo.hosted.exlibrisgroup.com/primo-explore/search?tab=default_tab&amp;search_scope=EVERYTHING&amp;vid=01CRU&amp;lang=en_US&amp;offset=0&amp;query=any,contains,991004001029702656","Catalog Record")</f>
        <v/>
      </c>
      <c r="AT1151">
        <f>HYPERLINK("http://www.worldcat.org/oclc/2073364","WorldCat Record")</f>
        <v/>
      </c>
      <c r="AU1151" t="inlineStr">
        <is>
          <t>365368723:ger</t>
        </is>
      </c>
      <c r="AV1151" t="inlineStr">
        <is>
          <t>2073364</t>
        </is>
      </c>
      <c r="AW1151" t="inlineStr">
        <is>
          <t>991004001029702656</t>
        </is>
      </c>
      <c r="AX1151" t="inlineStr">
        <is>
          <t>991004001029702656</t>
        </is>
      </c>
      <c r="AY1151" t="inlineStr">
        <is>
          <t>2256820430002656</t>
        </is>
      </c>
      <c r="AZ1151" t="inlineStr">
        <is>
          <t>BOOK</t>
        </is>
      </c>
      <c r="BB1151" t="inlineStr">
        <is>
          <t>9783775612265</t>
        </is>
      </c>
      <c r="BC1151" t="inlineStr">
        <is>
          <t>32285000925411</t>
        </is>
      </c>
      <c r="BD1151" t="inlineStr">
        <is>
          <t>893349496</t>
        </is>
      </c>
    </row>
    <row r="1152">
      <c r="A1152" t="inlineStr">
        <is>
          <t>No</t>
        </is>
      </c>
      <c r="B1152" t="inlineStr">
        <is>
          <t>BV823 .M58 1996</t>
        </is>
      </c>
      <c r="C1152" t="inlineStr">
        <is>
          <t>0                      BV 0823000M  58          1996</t>
        </is>
      </c>
      <c r="D1152" t="inlineStr">
        <is>
          <t>Karl Barth and the theology of the Lord's Supper : a systematic investigation / Paul D. Molnar.</t>
        </is>
      </c>
      <c r="F1152" t="inlineStr">
        <is>
          <t>No</t>
        </is>
      </c>
      <c r="G1152" t="inlineStr">
        <is>
          <t>1</t>
        </is>
      </c>
      <c r="H1152" t="inlineStr">
        <is>
          <t>No</t>
        </is>
      </c>
      <c r="I1152" t="inlineStr">
        <is>
          <t>No</t>
        </is>
      </c>
      <c r="J1152" t="inlineStr">
        <is>
          <t>0</t>
        </is>
      </c>
      <c r="K1152" t="inlineStr">
        <is>
          <t>Molnar, Paul D., 1946-</t>
        </is>
      </c>
      <c r="L1152" t="inlineStr">
        <is>
          <t>New York : P. Lang, c1996.</t>
        </is>
      </c>
      <c r="M1152" t="inlineStr">
        <is>
          <t>1996</t>
        </is>
      </c>
      <c r="O1152" t="inlineStr">
        <is>
          <t>eng</t>
        </is>
      </c>
      <c r="P1152" t="inlineStr">
        <is>
          <t>nyu</t>
        </is>
      </c>
      <c r="Q1152" t="inlineStr">
        <is>
          <t>Issues in systematic theology, 1081-9479 ; vol. 1</t>
        </is>
      </c>
      <c r="R1152" t="inlineStr">
        <is>
          <t xml:space="preserve">BV </t>
        </is>
      </c>
      <c r="S1152" t="n">
        <v>5</v>
      </c>
      <c r="T1152" t="n">
        <v>5</v>
      </c>
      <c r="U1152" t="inlineStr">
        <is>
          <t>2006-07-11</t>
        </is>
      </c>
      <c r="V1152" t="inlineStr">
        <is>
          <t>2006-07-11</t>
        </is>
      </c>
      <c r="W1152" t="inlineStr">
        <is>
          <t>1996-12-10</t>
        </is>
      </c>
      <c r="X1152" t="inlineStr">
        <is>
          <t>1996-12-10</t>
        </is>
      </c>
      <c r="Y1152" t="n">
        <v>152</v>
      </c>
      <c r="Z1152" t="n">
        <v>108</v>
      </c>
      <c r="AA1152" t="n">
        <v>108</v>
      </c>
      <c r="AB1152" t="n">
        <v>1</v>
      </c>
      <c r="AC1152" t="n">
        <v>1</v>
      </c>
      <c r="AD1152" t="n">
        <v>8</v>
      </c>
      <c r="AE1152" t="n">
        <v>8</v>
      </c>
      <c r="AF1152" t="n">
        <v>3</v>
      </c>
      <c r="AG1152" t="n">
        <v>3</v>
      </c>
      <c r="AH1152" t="n">
        <v>3</v>
      </c>
      <c r="AI1152" t="n">
        <v>3</v>
      </c>
      <c r="AJ1152" t="n">
        <v>5</v>
      </c>
      <c r="AK1152" t="n">
        <v>5</v>
      </c>
      <c r="AL1152" t="n">
        <v>0</v>
      </c>
      <c r="AM1152" t="n">
        <v>0</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HYPERLINK("https://creighton-primo.hosted.exlibrisgroup.com/primo-explore/search?tab=default_tab&amp;search_scope=EVERYTHING&amp;vid=01CRU&amp;lang=en_US&amp;offset=0&amp;query=any,contains,991002477869702656","Catalog Record")</f>
        <v/>
      </c>
      <c r="AT1152">
        <f>HYPERLINK("http://www.worldcat.org/oclc/32272480","WorldCat Record")</f>
        <v/>
      </c>
      <c r="AU1152" t="inlineStr">
        <is>
          <t>891343793:eng</t>
        </is>
      </c>
      <c r="AV1152" t="inlineStr">
        <is>
          <t>32272480</t>
        </is>
      </c>
      <c r="AW1152" t="inlineStr">
        <is>
          <t>991002477869702656</t>
        </is>
      </c>
      <c r="AX1152" t="inlineStr">
        <is>
          <t>991002477869702656</t>
        </is>
      </c>
      <c r="AY1152" t="inlineStr">
        <is>
          <t>2261027240002656</t>
        </is>
      </c>
      <c r="AZ1152" t="inlineStr">
        <is>
          <t>BOOK</t>
        </is>
      </c>
      <c r="BB1152" t="inlineStr">
        <is>
          <t>9780820428253</t>
        </is>
      </c>
      <c r="BC1152" t="inlineStr">
        <is>
          <t>32285002389566</t>
        </is>
      </c>
      <c r="BD1152" t="inlineStr">
        <is>
          <t>893798641</t>
        </is>
      </c>
    </row>
    <row r="1153">
      <c r="A1153" t="inlineStr">
        <is>
          <t>No</t>
        </is>
      </c>
      <c r="B1153" t="inlineStr">
        <is>
          <t>BV823 .M59 1990</t>
        </is>
      </c>
      <c r="C1153" t="inlineStr">
        <is>
          <t>0                      BV 0823000M  59          1990</t>
        </is>
      </c>
      <c r="D1153" t="inlineStr">
        <is>
          <t>A body broken for a broken people : eucharist in the New Testament / Francis J. Moloney.</t>
        </is>
      </c>
      <c r="F1153" t="inlineStr">
        <is>
          <t>No</t>
        </is>
      </c>
      <c r="G1153" t="inlineStr">
        <is>
          <t>1</t>
        </is>
      </c>
      <c r="H1153" t="inlineStr">
        <is>
          <t>No</t>
        </is>
      </c>
      <c r="I1153" t="inlineStr">
        <is>
          <t>Yes</t>
        </is>
      </c>
      <c r="J1153" t="inlineStr">
        <is>
          <t>0</t>
        </is>
      </c>
      <c r="K1153" t="inlineStr">
        <is>
          <t>Moloney, Francis J.</t>
        </is>
      </c>
      <c r="L1153" t="inlineStr">
        <is>
          <t>Melbourne, Australia : Collins Dove, 1990.</t>
        </is>
      </c>
      <c r="M1153" t="inlineStr">
        <is>
          <t>1990</t>
        </is>
      </c>
      <c r="O1153" t="inlineStr">
        <is>
          <t>eng</t>
        </is>
      </c>
      <c r="P1153" t="inlineStr">
        <is>
          <t xml:space="preserve">at </t>
        </is>
      </c>
      <c r="R1153" t="inlineStr">
        <is>
          <t xml:space="preserve">BV </t>
        </is>
      </c>
      <c r="S1153" t="n">
        <v>2</v>
      </c>
      <c r="T1153" t="n">
        <v>2</v>
      </c>
      <c r="U1153" t="inlineStr">
        <is>
          <t>2006-05-10</t>
        </is>
      </c>
      <c r="V1153" t="inlineStr">
        <is>
          <t>2006-05-10</t>
        </is>
      </c>
      <c r="W1153" t="inlineStr">
        <is>
          <t>1992-03-25</t>
        </is>
      </c>
      <c r="X1153" t="inlineStr">
        <is>
          <t>1992-03-25</t>
        </is>
      </c>
      <c r="Y1153" t="n">
        <v>139</v>
      </c>
      <c r="Z1153" t="n">
        <v>90</v>
      </c>
      <c r="AA1153" t="n">
        <v>225</v>
      </c>
      <c r="AB1153" t="n">
        <v>2</v>
      </c>
      <c r="AC1153" t="n">
        <v>4</v>
      </c>
      <c r="AD1153" t="n">
        <v>10</v>
      </c>
      <c r="AE1153" t="n">
        <v>19</v>
      </c>
      <c r="AF1153" t="n">
        <v>2</v>
      </c>
      <c r="AG1153" t="n">
        <v>6</v>
      </c>
      <c r="AH1153" t="n">
        <v>4</v>
      </c>
      <c r="AI1153" t="n">
        <v>5</v>
      </c>
      <c r="AJ1153" t="n">
        <v>5</v>
      </c>
      <c r="AK1153" t="n">
        <v>8</v>
      </c>
      <c r="AL1153" t="n">
        <v>1</v>
      </c>
      <c r="AM1153" t="n">
        <v>3</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HYPERLINK("https://creighton-primo.hosted.exlibrisgroup.com/primo-explore/search?tab=default_tab&amp;search_scope=EVERYTHING&amp;vid=01CRU&amp;lang=en_US&amp;offset=0&amp;query=any,contains,991001902319702656","Catalog Record")</f>
        <v/>
      </c>
      <c r="AT1153">
        <f>HYPERLINK("http://www.worldcat.org/oclc/27598186","WorldCat Record")</f>
        <v/>
      </c>
      <c r="AU1153" t="inlineStr">
        <is>
          <t>20880511:eng</t>
        </is>
      </c>
      <c r="AV1153" t="inlineStr">
        <is>
          <t>27598186</t>
        </is>
      </c>
      <c r="AW1153" t="inlineStr">
        <is>
          <t>991001902319702656</t>
        </is>
      </c>
      <c r="AX1153" t="inlineStr">
        <is>
          <t>991001902319702656</t>
        </is>
      </c>
      <c r="AY1153" t="inlineStr">
        <is>
          <t>2270532990002656</t>
        </is>
      </c>
      <c r="AZ1153" t="inlineStr">
        <is>
          <t>BOOK</t>
        </is>
      </c>
      <c r="BB1153" t="inlineStr">
        <is>
          <t>9780859248921</t>
        </is>
      </c>
      <c r="BC1153" t="inlineStr">
        <is>
          <t>32285000939982</t>
        </is>
      </c>
      <c r="BD1153" t="inlineStr">
        <is>
          <t>893256609</t>
        </is>
      </c>
    </row>
    <row r="1154">
      <c r="A1154" t="inlineStr">
        <is>
          <t>No</t>
        </is>
      </c>
      <c r="B1154" t="inlineStr">
        <is>
          <t>BV823 .R34 1972</t>
        </is>
      </c>
      <c r="C1154" t="inlineStr">
        <is>
          <t>0                      BV 0823000R  34          1972</t>
        </is>
      </c>
      <c r="D1154" t="inlineStr">
        <is>
          <t>The eucharistic theology of Theodore Beza : development of the Reformed doctrine / by Jill Raitt.</t>
        </is>
      </c>
      <c r="F1154" t="inlineStr">
        <is>
          <t>No</t>
        </is>
      </c>
      <c r="G1154" t="inlineStr">
        <is>
          <t>1</t>
        </is>
      </c>
      <c r="H1154" t="inlineStr">
        <is>
          <t>No</t>
        </is>
      </c>
      <c r="I1154" t="inlineStr">
        <is>
          <t>No</t>
        </is>
      </c>
      <c r="J1154" t="inlineStr">
        <is>
          <t>0</t>
        </is>
      </c>
      <c r="K1154" t="inlineStr">
        <is>
          <t>Raitt, Jill.</t>
        </is>
      </c>
      <c r="L1154" t="inlineStr">
        <is>
          <t>Atlanta, Georgia : Scholars Press ; Chambersburg, Pa. : American Academy of Religion, 1972.</t>
        </is>
      </c>
      <c r="M1154" t="inlineStr">
        <is>
          <t>1972</t>
        </is>
      </c>
      <c r="O1154" t="inlineStr">
        <is>
          <t>eng</t>
        </is>
      </c>
      <c r="P1154" t="inlineStr">
        <is>
          <t>pau</t>
        </is>
      </c>
      <c r="Q1154" t="inlineStr">
        <is>
          <t>Studies in religion (American Academy of Religion) ; no. 4</t>
        </is>
      </c>
      <c r="R1154" t="inlineStr">
        <is>
          <t xml:space="preserve">BV </t>
        </is>
      </c>
      <c r="S1154" t="n">
        <v>0</v>
      </c>
      <c r="T1154" t="n">
        <v>0</v>
      </c>
      <c r="U1154" t="inlineStr">
        <is>
          <t>2009-02-18</t>
        </is>
      </c>
      <c r="V1154" t="inlineStr">
        <is>
          <t>2009-02-18</t>
        </is>
      </c>
      <c r="W1154" t="inlineStr">
        <is>
          <t>1992-01-24</t>
        </is>
      </c>
      <c r="X1154" t="inlineStr">
        <is>
          <t>1992-01-24</t>
        </is>
      </c>
      <c r="Y1154" t="n">
        <v>348</v>
      </c>
      <c r="Z1154" t="n">
        <v>277</v>
      </c>
      <c r="AA1154" t="n">
        <v>298</v>
      </c>
      <c r="AB1154" t="n">
        <v>2</v>
      </c>
      <c r="AC1154" t="n">
        <v>2</v>
      </c>
      <c r="AD1154" t="n">
        <v>12</v>
      </c>
      <c r="AE1154" t="n">
        <v>14</v>
      </c>
      <c r="AF1154" t="n">
        <v>2</v>
      </c>
      <c r="AG1154" t="n">
        <v>3</v>
      </c>
      <c r="AH1154" t="n">
        <v>3</v>
      </c>
      <c r="AI1154" t="n">
        <v>3</v>
      </c>
      <c r="AJ1154" t="n">
        <v>9</v>
      </c>
      <c r="AK1154" t="n">
        <v>10</v>
      </c>
      <c r="AL1154" t="n">
        <v>1</v>
      </c>
      <c r="AM1154" t="n">
        <v>1</v>
      </c>
      <c r="AN1154" t="n">
        <v>0</v>
      </c>
      <c r="AO1154" t="n">
        <v>0</v>
      </c>
      <c r="AP1154" t="inlineStr">
        <is>
          <t>No</t>
        </is>
      </c>
      <c r="AQ1154" t="inlineStr">
        <is>
          <t>Yes</t>
        </is>
      </c>
      <c r="AR1154">
        <f>HYPERLINK("http://catalog.hathitrust.org/Record/004488993","HathiTrust Record")</f>
        <v/>
      </c>
      <c r="AS1154">
        <f>HYPERLINK("https://creighton-primo.hosted.exlibrisgroup.com/primo-explore/search?tab=default_tab&amp;search_scope=EVERYTHING&amp;vid=01CRU&amp;lang=en_US&amp;offset=0&amp;query=any,contains,991003922409702656","Catalog Record")</f>
        <v/>
      </c>
      <c r="AT1154">
        <f>HYPERLINK("http://www.worldcat.org/oclc/1874117","WorldCat Record")</f>
        <v/>
      </c>
      <c r="AU1154" t="inlineStr">
        <is>
          <t>2744406:eng</t>
        </is>
      </c>
      <c r="AV1154" t="inlineStr">
        <is>
          <t>1874117</t>
        </is>
      </c>
      <c r="AW1154" t="inlineStr">
        <is>
          <t>991003922409702656</t>
        </is>
      </c>
      <c r="AX1154" t="inlineStr">
        <is>
          <t>991003922409702656</t>
        </is>
      </c>
      <c r="AY1154" t="inlineStr">
        <is>
          <t>2261963870002656</t>
        </is>
      </c>
      <c r="AZ1154" t="inlineStr">
        <is>
          <t>BOOK</t>
        </is>
      </c>
      <c r="BC1154" t="inlineStr">
        <is>
          <t>32285000925429</t>
        </is>
      </c>
      <c r="BD1154" t="inlineStr">
        <is>
          <t>893519040</t>
        </is>
      </c>
    </row>
    <row r="1155">
      <c r="A1155" t="inlineStr">
        <is>
          <t>No</t>
        </is>
      </c>
      <c r="B1155" t="inlineStr">
        <is>
          <t>BV823 .S2913 1982</t>
        </is>
      </c>
      <c r="C1155" t="inlineStr">
        <is>
          <t>0                      BV 0823000S  2913        1982</t>
        </is>
      </c>
      <c r="D1155" t="inlineStr">
        <is>
          <t>The problem of the Lord's Supper according to the scholarly research of the nineteenth century and the historical accounts : volume 1 [of] The Lord's Supper in relationship to the life of Jesus and the history of the early Church / by Albert Schweitzer ; translated by A.J. Mattill, Jr. ; edited with an introduction by John Reumann.</t>
        </is>
      </c>
      <c r="F1155" t="inlineStr">
        <is>
          <t>No</t>
        </is>
      </c>
      <c r="G1155" t="inlineStr">
        <is>
          <t>1</t>
        </is>
      </c>
      <c r="H1155" t="inlineStr">
        <is>
          <t>No</t>
        </is>
      </c>
      <c r="I1155" t="inlineStr">
        <is>
          <t>No</t>
        </is>
      </c>
      <c r="J1155" t="inlineStr">
        <is>
          <t>0</t>
        </is>
      </c>
      <c r="K1155" t="inlineStr">
        <is>
          <t>Schweitzer, Albert, 1875-1965.</t>
        </is>
      </c>
      <c r="L1155" t="inlineStr">
        <is>
          <t>Macon, Ga. : Mercer University Press, c1982.</t>
        </is>
      </c>
      <c r="M1155" t="inlineStr">
        <is>
          <t>1982</t>
        </is>
      </c>
      <c r="O1155" t="inlineStr">
        <is>
          <t>eng</t>
        </is>
      </c>
      <c r="P1155" t="inlineStr">
        <is>
          <t>gau</t>
        </is>
      </c>
      <c r="R1155" t="inlineStr">
        <is>
          <t xml:space="preserve">BV </t>
        </is>
      </c>
      <c r="S1155" t="n">
        <v>4</v>
      </c>
      <c r="T1155" t="n">
        <v>4</v>
      </c>
      <c r="U1155" t="inlineStr">
        <is>
          <t>2004-11-09</t>
        </is>
      </c>
      <c r="V1155" t="inlineStr">
        <is>
          <t>2004-11-09</t>
        </is>
      </c>
      <c r="W1155" t="inlineStr">
        <is>
          <t>1992-01-24</t>
        </is>
      </c>
      <c r="X1155" t="inlineStr">
        <is>
          <t>1992-01-24</t>
        </is>
      </c>
      <c r="Y1155" t="n">
        <v>406</v>
      </c>
      <c r="Z1155" t="n">
        <v>366</v>
      </c>
      <c r="AA1155" t="n">
        <v>367</v>
      </c>
      <c r="AB1155" t="n">
        <v>2</v>
      </c>
      <c r="AC1155" t="n">
        <v>2</v>
      </c>
      <c r="AD1155" t="n">
        <v>17</v>
      </c>
      <c r="AE1155" t="n">
        <v>17</v>
      </c>
      <c r="AF1155" t="n">
        <v>7</v>
      </c>
      <c r="AG1155" t="n">
        <v>7</v>
      </c>
      <c r="AH1155" t="n">
        <v>5</v>
      </c>
      <c r="AI1155" t="n">
        <v>5</v>
      </c>
      <c r="AJ1155" t="n">
        <v>9</v>
      </c>
      <c r="AK1155" t="n">
        <v>9</v>
      </c>
      <c r="AL1155" t="n">
        <v>1</v>
      </c>
      <c r="AM1155" t="n">
        <v>1</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HYPERLINK("https://creighton-primo.hosted.exlibrisgroup.com/primo-explore/search?tab=default_tab&amp;search_scope=EVERYTHING&amp;vid=01CRU&amp;lang=en_US&amp;offset=0&amp;query=any,contains,991005211829702656","Catalog Record")</f>
        <v/>
      </c>
      <c r="AT1155">
        <f>HYPERLINK("http://www.worldcat.org/oclc/8169880","WorldCat Record")</f>
        <v/>
      </c>
      <c r="AU1155" t="inlineStr">
        <is>
          <t>344007447:eng</t>
        </is>
      </c>
      <c r="AV1155" t="inlineStr">
        <is>
          <t>8169880</t>
        </is>
      </c>
      <c r="AW1155" t="inlineStr">
        <is>
          <t>991005211829702656</t>
        </is>
      </c>
      <c r="AX1155" t="inlineStr">
        <is>
          <t>991005211829702656</t>
        </is>
      </c>
      <c r="AY1155" t="inlineStr">
        <is>
          <t>2269773160002656</t>
        </is>
      </c>
      <c r="AZ1155" t="inlineStr">
        <is>
          <t>BOOK</t>
        </is>
      </c>
      <c r="BB1155" t="inlineStr">
        <is>
          <t>9780865540255</t>
        </is>
      </c>
      <c r="BC1155" t="inlineStr">
        <is>
          <t>32285000925437</t>
        </is>
      </c>
      <c r="BD1155" t="inlineStr">
        <is>
          <t>893242381</t>
        </is>
      </c>
    </row>
    <row r="1156">
      <c r="A1156" t="inlineStr">
        <is>
          <t>No</t>
        </is>
      </c>
      <c r="B1156" t="inlineStr">
        <is>
          <t>BV823 .S313</t>
        </is>
      </c>
      <c r="C1156" t="inlineStr">
        <is>
          <t>0                      BV 0823000S  313</t>
        </is>
      </c>
      <c r="D1156" t="inlineStr">
        <is>
          <t>The Lord's Supper according to the New Testament / by Eduard Schweizer. Translated by James M. Davis.</t>
        </is>
      </c>
      <c r="F1156" t="inlineStr">
        <is>
          <t>No</t>
        </is>
      </c>
      <c r="G1156" t="inlineStr">
        <is>
          <t>1</t>
        </is>
      </c>
      <c r="H1156" t="inlineStr">
        <is>
          <t>No</t>
        </is>
      </c>
      <c r="I1156" t="inlineStr">
        <is>
          <t>No</t>
        </is>
      </c>
      <c r="J1156" t="inlineStr">
        <is>
          <t>0</t>
        </is>
      </c>
      <c r="K1156" t="inlineStr">
        <is>
          <t>Schweizer, Eduard, 1913-2006.</t>
        </is>
      </c>
      <c r="L1156" t="inlineStr">
        <is>
          <t>Philadelphia, Fortress Press [1967]</t>
        </is>
      </c>
      <c r="M1156" t="inlineStr">
        <is>
          <t>1967</t>
        </is>
      </c>
      <c r="O1156" t="inlineStr">
        <is>
          <t>eng</t>
        </is>
      </c>
      <c r="P1156" t="inlineStr">
        <is>
          <t>pau</t>
        </is>
      </c>
      <c r="Q1156" t="inlineStr">
        <is>
          <t>Facet books. Biblical series ; 18</t>
        </is>
      </c>
      <c r="R1156" t="inlineStr">
        <is>
          <t xml:space="preserve">BV </t>
        </is>
      </c>
      <c r="S1156" t="n">
        <v>3</v>
      </c>
      <c r="T1156" t="n">
        <v>3</v>
      </c>
      <c r="U1156" t="inlineStr">
        <is>
          <t>1999-11-11</t>
        </is>
      </c>
      <c r="V1156" t="inlineStr">
        <is>
          <t>1999-11-11</t>
        </is>
      </c>
      <c r="W1156" t="inlineStr">
        <is>
          <t>1993-10-29</t>
        </is>
      </c>
      <c r="X1156" t="inlineStr">
        <is>
          <t>1993-10-29</t>
        </is>
      </c>
      <c r="Y1156" t="n">
        <v>266</v>
      </c>
      <c r="Z1156" t="n">
        <v>230</v>
      </c>
      <c r="AA1156" t="n">
        <v>230</v>
      </c>
      <c r="AB1156" t="n">
        <v>2</v>
      </c>
      <c r="AC1156" t="n">
        <v>2</v>
      </c>
      <c r="AD1156" t="n">
        <v>17</v>
      </c>
      <c r="AE1156" t="n">
        <v>17</v>
      </c>
      <c r="AF1156" t="n">
        <v>6</v>
      </c>
      <c r="AG1156" t="n">
        <v>6</v>
      </c>
      <c r="AH1156" t="n">
        <v>4</v>
      </c>
      <c r="AI1156" t="n">
        <v>4</v>
      </c>
      <c r="AJ1156" t="n">
        <v>10</v>
      </c>
      <c r="AK1156" t="n">
        <v>10</v>
      </c>
      <c r="AL1156" t="n">
        <v>1</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HYPERLINK("https://creighton-primo.hosted.exlibrisgroup.com/primo-explore/search?tab=default_tab&amp;search_scope=EVERYTHING&amp;vid=01CRU&amp;lang=en_US&amp;offset=0&amp;query=any,contains,991002410349702656","Catalog Record")</f>
        <v/>
      </c>
      <c r="AT1156">
        <f>HYPERLINK("http://www.worldcat.org/oclc/339353","WorldCat Record")</f>
        <v/>
      </c>
      <c r="AU1156" t="inlineStr">
        <is>
          <t>1468089:eng</t>
        </is>
      </c>
      <c r="AV1156" t="inlineStr">
        <is>
          <t>339353</t>
        </is>
      </c>
      <c r="AW1156" t="inlineStr">
        <is>
          <t>991002410349702656</t>
        </is>
      </c>
      <c r="AX1156" t="inlineStr">
        <is>
          <t>991002410349702656</t>
        </is>
      </c>
      <c r="AY1156" t="inlineStr">
        <is>
          <t>2259127240002656</t>
        </is>
      </c>
      <c r="AZ1156" t="inlineStr">
        <is>
          <t>BOOK</t>
        </is>
      </c>
      <c r="BC1156" t="inlineStr">
        <is>
          <t>32285001795730</t>
        </is>
      </c>
      <c r="BD1156" t="inlineStr">
        <is>
          <t>893517253</t>
        </is>
      </c>
    </row>
    <row r="1157">
      <c r="A1157" t="inlineStr">
        <is>
          <t>No</t>
        </is>
      </c>
      <c r="B1157" t="inlineStr">
        <is>
          <t>BV823 .S74 1986</t>
        </is>
      </c>
      <c r="C1157" t="inlineStr">
        <is>
          <t>0                      BV 0823000S  74          1986</t>
        </is>
      </c>
      <c r="D1157" t="inlineStr">
        <is>
          <t>Eucharist and offering / Kenneth W. Stevenson.</t>
        </is>
      </c>
      <c r="F1157" t="inlineStr">
        <is>
          <t>No</t>
        </is>
      </c>
      <c r="G1157" t="inlineStr">
        <is>
          <t>1</t>
        </is>
      </c>
      <c r="H1157" t="inlineStr">
        <is>
          <t>No</t>
        </is>
      </c>
      <c r="I1157" t="inlineStr">
        <is>
          <t>No</t>
        </is>
      </c>
      <c r="J1157" t="inlineStr">
        <is>
          <t>0</t>
        </is>
      </c>
      <c r="K1157" t="inlineStr">
        <is>
          <t>Stevenson, Kenneth (Kenneth W.)</t>
        </is>
      </c>
      <c r="L1157" t="inlineStr">
        <is>
          <t>New York : Pueblo, c1986.</t>
        </is>
      </c>
      <c r="M1157" t="inlineStr">
        <is>
          <t>1986</t>
        </is>
      </c>
      <c r="O1157" t="inlineStr">
        <is>
          <t>eng</t>
        </is>
      </c>
      <c r="P1157" t="inlineStr">
        <is>
          <t>nyu</t>
        </is>
      </c>
      <c r="R1157" t="inlineStr">
        <is>
          <t xml:space="preserve">BV </t>
        </is>
      </c>
      <c r="S1157" t="n">
        <v>6</v>
      </c>
      <c r="T1157" t="n">
        <v>6</v>
      </c>
      <c r="U1157" t="inlineStr">
        <is>
          <t>2004-11-09</t>
        </is>
      </c>
      <c r="V1157" t="inlineStr">
        <is>
          <t>2004-11-09</t>
        </is>
      </c>
      <c r="W1157" t="inlineStr">
        <is>
          <t>1992-01-27</t>
        </is>
      </c>
      <c r="X1157" t="inlineStr">
        <is>
          <t>1992-01-27</t>
        </is>
      </c>
      <c r="Y1157" t="n">
        <v>217</v>
      </c>
      <c r="Z1157" t="n">
        <v>159</v>
      </c>
      <c r="AA1157" t="n">
        <v>159</v>
      </c>
      <c r="AB1157" t="n">
        <v>2</v>
      </c>
      <c r="AC1157" t="n">
        <v>2</v>
      </c>
      <c r="AD1157" t="n">
        <v>22</v>
      </c>
      <c r="AE1157" t="n">
        <v>22</v>
      </c>
      <c r="AF1157" t="n">
        <v>6</v>
      </c>
      <c r="AG1157" t="n">
        <v>6</v>
      </c>
      <c r="AH1157" t="n">
        <v>5</v>
      </c>
      <c r="AI1157" t="n">
        <v>5</v>
      </c>
      <c r="AJ1157" t="n">
        <v>16</v>
      </c>
      <c r="AK1157" t="n">
        <v>16</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HYPERLINK("https://creighton-primo.hosted.exlibrisgroup.com/primo-explore/search?tab=default_tab&amp;search_scope=EVERYTHING&amp;vid=01CRU&amp;lang=en_US&amp;offset=0&amp;query=any,contains,991000960049702656","Catalog Record")</f>
        <v/>
      </c>
      <c r="AT1157">
        <f>HYPERLINK("http://www.worldcat.org/oclc/14817887","WorldCat Record")</f>
        <v/>
      </c>
      <c r="AU1157" t="inlineStr">
        <is>
          <t>351545503:eng</t>
        </is>
      </c>
      <c r="AV1157" t="inlineStr">
        <is>
          <t>14817887</t>
        </is>
      </c>
      <c r="AW1157" t="inlineStr">
        <is>
          <t>991000960049702656</t>
        </is>
      </c>
      <c r="AX1157" t="inlineStr">
        <is>
          <t>991000960049702656</t>
        </is>
      </c>
      <c r="AY1157" t="inlineStr">
        <is>
          <t>2263276400002656</t>
        </is>
      </c>
      <c r="AZ1157" t="inlineStr">
        <is>
          <t>BOOK</t>
        </is>
      </c>
      <c r="BB1157" t="inlineStr">
        <is>
          <t>9780916134778</t>
        </is>
      </c>
      <c r="BC1157" t="inlineStr">
        <is>
          <t>32285000925452</t>
        </is>
      </c>
      <c r="BD1157" t="inlineStr">
        <is>
          <t>893243753</t>
        </is>
      </c>
    </row>
    <row r="1158">
      <c r="A1158" t="inlineStr">
        <is>
          <t>No</t>
        </is>
      </c>
      <c r="B1158" t="inlineStr">
        <is>
          <t>BV823 .Z5913 2001</t>
        </is>
      </c>
      <c r="C1158" t="inlineStr">
        <is>
          <t>0                      BV 0823000Z  5913        2001</t>
        </is>
      </c>
      <c r="D1158" t="inlineStr">
        <is>
          <t>Eucharist, bishop, church : the unity of the church in the divine Eucharist and the bishop during the first three centuries / John D. Zizioulas ; translated by Elizabeth Theokritoff.</t>
        </is>
      </c>
      <c r="F1158" t="inlineStr">
        <is>
          <t>No</t>
        </is>
      </c>
      <c r="G1158" t="inlineStr">
        <is>
          <t>1</t>
        </is>
      </c>
      <c r="H1158" t="inlineStr">
        <is>
          <t>No</t>
        </is>
      </c>
      <c r="I1158" t="inlineStr">
        <is>
          <t>No</t>
        </is>
      </c>
      <c r="J1158" t="inlineStr">
        <is>
          <t>0</t>
        </is>
      </c>
      <c r="K1158" t="inlineStr">
        <is>
          <t>Zizioulas, Jean, 1931-</t>
        </is>
      </c>
      <c r="L1158" t="inlineStr">
        <is>
          <t>Brookline, Mass. : Holy Cross Orthodox Press, c2001.</t>
        </is>
      </c>
      <c r="M1158" t="inlineStr">
        <is>
          <t>2001</t>
        </is>
      </c>
      <c r="O1158" t="inlineStr">
        <is>
          <t>eng</t>
        </is>
      </c>
      <c r="P1158" t="inlineStr">
        <is>
          <t>mau</t>
        </is>
      </c>
      <c r="R1158" t="inlineStr">
        <is>
          <t xml:space="preserve">BV </t>
        </is>
      </c>
      <c r="S1158" t="n">
        <v>1</v>
      </c>
      <c r="T1158" t="n">
        <v>1</v>
      </c>
      <c r="U1158" t="inlineStr">
        <is>
          <t>2008-01-31</t>
        </is>
      </c>
      <c r="V1158" t="inlineStr">
        <is>
          <t>2008-01-31</t>
        </is>
      </c>
      <c r="W1158" t="inlineStr">
        <is>
          <t>2008-01-31</t>
        </is>
      </c>
      <c r="X1158" t="inlineStr">
        <is>
          <t>2008-01-31</t>
        </is>
      </c>
      <c r="Y1158" t="n">
        <v>144</v>
      </c>
      <c r="Z1158" t="n">
        <v>104</v>
      </c>
      <c r="AA1158" t="n">
        <v>104</v>
      </c>
      <c r="AB1158" t="n">
        <v>1</v>
      </c>
      <c r="AC1158" t="n">
        <v>1</v>
      </c>
      <c r="AD1158" t="n">
        <v>10</v>
      </c>
      <c r="AE1158" t="n">
        <v>10</v>
      </c>
      <c r="AF1158" t="n">
        <v>2</v>
      </c>
      <c r="AG1158" t="n">
        <v>2</v>
      </c>
      <c r="AH1158" t="n">
        <v>3</v>
      </c>
      <c r="AI1158" t="n">
        <v>3</v>
      </c>
      <c r="AJ1158" t="n">
        <v>7</v>
      </c>
      <c r="AK1158" t="n">
        <v>7</v>
      </c>
      <c r="AL1158" t="n">
        <v>0</v>
      </c>
      <c r="AM1158" t="n">
        <v>0</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HYPERLINK("https://creighton-primo.hosted.exlibrisgroup.com/primo-explore/search?tab=default_tab&amp;search_scope=EVERYTHING&amp;vid=01CRU&amp;lang=en_US&amp;offset=0&amp;query=any,contains,991005178859702656","Catalog Record")</f>
        <v/>
      </c>
      <c r="AT1158">
        <f>HYPERLINK("http://www.worldcat.org/oclc/46472160","WorldCat Record")</f>
        <v/>
      </c>
      <c r="AU1158" t="inlineStr">
        <is>
          <t>33981840:eng</t>
        </is>
      </c>
      <c r="AV1158" t="inlineStr">
        <is>
          <t>46472160</t>
        </is>
      </c>
      <c r="AW1158" t="inlineStr">
        <is>
          <t>991005178859702656</t>
        </is>
      </c>
      <c r="AX1158" t="inlineStr">
        <is>
          <t>991005178859702656</t>
        </is>
      </c>
      <c r="AY1158" t="inlineStr">
        <is>
          <t>2262654580002656</t>
        </is>
      </c>
      <c r="AZ1158" t="inlineStr">
        <is>
          <t>BOOK</t>
        </is>
      </c>
      <c r="BB1158" t="inlineStr">
        <is>
          <t>9781885652430</t>
        </is>
      </c>
      <c r="BC1158" t="inlineStr">
        <is>
          <t>32285005391676</t>
        </is>
      </c>
      <c r="BD1158" t="inlineStr">
        <is>
          <t>893713579</t>
        </is>
      </c>
    </row>
    <row r="1159">
      <c r="A1159" t="inlineStr">
        <is>
          <t>No</t>
        </is>
      </c>
      <c r="B1159" t="inlineStr">
        <is>
          <t>BV825 .D35 1903</t>
        </is>
      </c>
      <c r="C1159" t="inlineStr">
        <is>
          <t>0                      BV 0825000D  35          1903</t>
        </is>
      </c>
      <c r="D1159" t="inlineStr">
        <is>
          <t>Holy Communion : its philosophy, theology and practice.</t>
        </is>
      </c>
      <c r="F1159" t="inlineStr">
        <is>
          <t>No</t>
        </is>
      </c>
      <c r="G1159" t="inlineStr">
        <is>
          <t>1</t>
        </is>
      </c>
      <c r="H1159" t="inlineStr">
        <is>
          <t>No</t>
        </is>
      </c>
      <c r="I1159" t="inlineStr">
        <is>
          <t>No</t>
        </is>
      </c>
      <c r="J1159" t="inlineStr">
        <is>
          <t>0</t>
        </is>
      </c>
      <c r="K1159" t="inlineStr">
        <is>
          <t>Dalgairns, John Bernard, 1818-1876.</t>
        </is>
      </c>
      <c r="L1159" t="inlineStr">
        <is>
          <t>James Duffy and Co., 1903.</t>
        </is>
      </c>
      <c r="M1159" t="inlineStr">
        <is>
          <t>1903</t>
        </is>
      </c>
      <c r="O1159" t="inlineStr">
        <is>
          <t>eng</t>
        </is>
      </c>
      <c r="P1159" t="inlineStr">
        <is>
          <t xml:space="preserve">xx </t>
        </is>
      </c>
      <c r="R1159" t="inlineStr">
        <is>
          <t xml:space="preserve">BV </t>
        </is>
      </c>
      <c r="S1159" t="n">
        <v>5</v>
      </c>
      <c r="T1159" t="n">
        <v>5</v>
      </c>
      <c r="U1159" t="inlineStr">
        <is>
          <t>2008-07-19</t>
        </is>
      </c>
      <c r="V1159" t="inlineStr">
        <is>
          <t>2008-07-19</t>
        </is>
      </c>
      <c r="W1159" t="inlineStr">
        <is>
          <t>1992-01-27</t>
        </is>
      </c>
      <c r="X1159" t="inlineStr">
        <is>
          <t>1992-01-27</t>
        </is>
      </c>
      <c r="Y1159" t="n">
        <v>14</v>
      </c>
      <c r="Z1159" t="n">
        <v>13</v>
      </c>
      <c r="AA1159" t="n">
        <v>208</v>
      </c>
      <c r="AB1159" t="n">
        <v>1</v>
      </c>
      <c r="AC1159" t="n">
        <v>4</v>
      </c>
      <c r="AD1159" t="n">
        <v>4</v>
      </c>
      <c r="AE1159" t="n">
        <v>21</v>
      </c>
      <c r="AF1159" t="n">
        <v>0</v>
      </c>
      <c r="AG1159" t="n">
        <v>6</v>
      </c>
      <c r="AH1159" t="n">
        <v>1</v>
      </c>
      <c r="AI1159" t="n">
        <v>4</v>
      </c>
      <c r="AJ1159" t="n">
        <v>3</v>
      </c>
      <c r="AK1159" t="n">
        <v>12</v>
      </c>
      <c r="AL1159" t="n">
        <v>0</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HYPERLINK("https://creighton-primo.hosted.exlibrisgroup.com/primo-explore/search?tab=default_tab&amp;search_scope=EVERYTHING&amp;vid=01CRU&amp;lang=en_US&amp;offset=0&amp;query=any,contains,991000869479702656","Catalog Record")</f>
        <v/>
      </c>
      <c r="AT1159">
        <f>HYPERLINK("http://www.worldcat.org/oclc/13780335","WorldCat Record")</f>
        <v/>
      </c>
      <c r="AU1159" t="inlineStr">
        <is>
          <t>7523119:eng</t>
        </is>
      </c>
      <c r="AV1159" t="inlineStr">
        <is>
          <t>13780335</t>
        </is>
      </c>
      <c r="AW1159" t="inlineStr">
        <is>
          <t>991000869479702656</t>
        </is>
      </c>
      <c r="AX1159" t="inlineStr">
        <is>
          <t>991000869479702656</t>
        </is>
      </c>
      <c r="AY1159" t="inlineStr">
        <is>
          <t>2271136870002656</t>
        </is>
      </c>
      <c r="AZ1159" t="inlineStr">
        <is>
          <t>BOOK</t>
        </is>
      </c>
      <c r="BC1159" t="inlineStr">
        <is>
          <t>32285000925478</t>
        </is>
      </c>
      <c r="BD1159" t="inlineStr">
        <is>
          <t>893683821</t>
        </is>
      </c>
    </row>
    <row r="1160">
      <c r="A1160" t="inlineStr">
        <is>
          <t>No</t>
        </is>
      </c>
      <c r="B1160" t="inlineStr">
        <is>
          <t>BV825 .H69 1912</t>
        </is>
      </c>
      <c r="C1160" t="inlineStr">
        <is>
          <t>0                      BV 0825000H  69          1912</t>
        </is>
      </c>
      <c r="D1160" t="inlineStr">
        <is>
          <t>Simple instructions on the Holy Eucharist : as sacrament and sacrifice / by Geo. Edw. Howe.</t>
        </is>
      </c>
      <c r="F1160" t="inlineStr">
        <is>
          <t>No</t>
        </is>
      </c>
      <c r="G1160" t="inlineStr">
        <is>
          <t>1</t>
        </is>
      </c>
      <c r="H1160" t="inlineStr">
        <is>
          <t>No</t>
        </is>
      </c>
      <c r="I1160" t="inlineStr">
        <is>
          <t>No</t>
        </is>
      </c>
      <c r="J1160" t="inlineStr">
        <is>
          <t>0</t>
        </is>
      </c>
      <c r="K1160" t="inlineStr">
        <is>
          <t>Howe, George Edward.</t>
        </is>
      </c>
      <c r="L1160" t="inlineStr">
        <is>
          <t>Newcastle-on-Tyne : J.J. Longhurst ; London : Washbourne, 1912.</t>
        </is>
      </c>
      <c r="M1160" t="inlineStr">
        <is>
          <t>1912</t>
        </is>
      </c>
      <c r="O1160" t="inlineStr">
        <is>
          <t>eng</t>
        </is>
      </c>
      <c r="P1160" t="inlineStr">
        <is>
          <t>enk</t>
        </is>
      </c>
      <c r="R1160" t="inlineStr">
        <is>
          <t xml:space="preserve">BV </t>
        </is>
      </c>
      <c r="S1160" t="n">
        <v>3</v>
      </c>
      <c r="T1160" t="n">
        <v>3</v>
      </c>
      <c r="U1160" t="inlineStr">
        <is>
          <t>1993-11-28</t>
        </is>
      </c>
      <c r="V1160" t="inlineStr">
        <is>
          <t>1993-11-28</t>
        </is>
      </c>
      <c r="W1160" t="inlineStr">
        <is>
          <t>1992-06-09</t>
        </is>
      </c>
      <c r="X1160" t="inlineStr">
        <is>
          <t>1992-06-09</t>
        </is>
      </c>
      <c r="Y1160" t="n">
        <v>15</v>
      </c>
      <c r="Z1160" t="n">
        <v>13</v>
      </c>
      <c r="AA1160" t="n">
        <v>25</v>
      </c>
      <c r="AB1160" t="n">
        <v>1</v>
      </c>
      <c r="AC1160" t="n">
        <v>1</v>
      </c>
      <c r="AD1160" t="n">
        <v>3</v>
      </c>
      <c r="AE1160" t="n">
        <v>4</v>
      </c>
      <c r="AF1160" t="n">
        <v>0</v>
      </c>
      <c r="AG1160" t="n">
        <v>0</v>
      </c>
      <c r="AH1160" t="n">
        <v>0</v>
      </c>
      <c r="AI1160" t="n">
        <v>1</v>
      </c>
      <c r="AJ1160" t="n">
        <v>3</v>
      </c>
      <c r="AK1160" t="n">
        <v>3</v>
      </c>
      <c r="AL1160" t="n">
        <v>0</v>
      </c>
      <c r="AM1160" t="n">
        <v>0</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HYPERLINK("https://creighton-primo.hosted.exlibrisgroup.com/primo-explore/search?tab=default_tab&amp;search_scope=EVERYTHING&amp;vid=01CRU&amp;lang=en_US&amp;offset=0&amp;query=any,contains,991004412579702656","Catalog Record")</f>
        <v/>
      </c>
      <c r="AT1160">
        <f>HYPERLINK("http://www.worldcat.org/oclc/3348717","WorldCat Record")</f>
        <v/>
      </c>
      <c r="AU1160" t="inlineStr">
        <is>
          <t>18508020:eng</t>
        </is>
      </c>
      <c r="AV1160" t="inlineStr">
        <is>
          <t>3348717</t>
        </is>
      </c>
      <c r="AW1160" t="inlineStr">
        <is>
          <t>991004412579702656</t>
        </is>
      </c>
      <c r="AX1160" t="inlineStr">
        <is>
          <t>991004412579702656</t>
        </is>
      </c>
      <c r="AY1160" t="inlineStr">
        <is>
          <t>2265031290002656</t>
        </is>
      </c>
      <c r="AZ1160" t="inlineStr">
        <is>
          <t>BOOK</t>
        </is>
      </c>
      <c r="BC1160" t="inlineStr">
        <is>
          <t>32285001074540</t>
        </is>
      </c>
      <c r="BD1160" t="inlineStr">
        <is>
          <t>893904845</t>
        </is>
      </c>
    </row>
    <row r="1161">
      <c r="A1161" t="inlineStr">
        <is>
          <t>No</t>
        </is>
      </c>
      <c r="B1161" t="inlineStr">
        <is>
          <t>BV825.2 .A713</t>
        </is>
      </c>
      <c r="C1161" t="inlineStr">
        <is>
          <t>0                      BV 0825200A  713</t>
        </is>
      </c>
      <c r="D1161" t="inlineStr">
        <is>
          <t>The Lord's Supper / by Jean-Jacques von Allmen.</t>
        </is>
      </c>
      <c r="F1161" t="inlineStr">
        <is>
          <t>No</t>
        </is>
      </c>
      <c r="G1161" t="inlineStr">
        <is>
          <t>1</t>
        </is>
      </c>
      <c r="H1161" t="inlineStr">
        <is>
          <t>No</t>
        </is>
      </c>
      <c r="I1161" t="inlineStr">
        <is>
          <t>No</t>
        </is>
      </c>
      <c r="J1161" t="inlineStr">
        <is>
          <t>0</t>
        </is>
      </c>
      <c r="K1161" t="inlineStr">
        <is>
          <t>Allmen, Jean-Jacques von, 1917-1994.</t>
        </is>
      </c>
      <c r="L1161" t="inlineStr">
        <is>
          <t>Richmond, Va. : John Knox Press, [1969]</t>
        </is>
      </c>
      <c r="M1161" t="inlineStr">
        <is>
          <t>1969</t>
        </is>
      </c>
      <c r="O1161" t="inlineStr">
        <is>
          <t>eng</t>
        </is>
      </c>
      <c r="P1161" t="inlineStr">
        <is>
          <t>vau</t>
        </is>
      </c>
      <c r="Q1161" t="inlineStr">
        <is>
          <t>Ecumenical studies in worship ; no. 19</t>
        </is>
      </c>
      <c r="R1161" t="inlineStr">
        <is>
          <t xml:space="preserve">BV </t>
        </is>
      </c>
      <c r="S1161" t="n">
        <v>4</v>
      </c>
      <c r="T1161" t="n">
        <v>4</v>
      </c>
      <c r="U1161" t="inlineStr">
        <is>
          <t>1996-11-21</t>
        </is>
      </c>
      <c r="V1161" t="inlineStr">
        <is>
          <t>1996-11-21</t>
        </is>
      </c>
      <c r="W1161" t="inlineStr">
        <is>
          <t>1991-09-06</t>
        </is>
      </c>
      <c r="X1161" t="inlineStr">
        <is>
          <t>1991-09-06</t>
        </is>
      </c>
      <c r="Y1161" t="n">
        <v>182</v>
      </c>
      <c r="Z1161" t="n">
        <v>173</v>
      </c>
      <c r="AA1161" t="n">
        <v>189</v>
      </c>
      <c r="AB1161" t="n">
        <v>2</v>
      </c>
      <c r="AC1161" t="n">
        <v>2</v>
      </c>
      <c r="AD1161" t="n">
        <v>19</v>
      </c>
      <c r="AE1161" t="n">
        <v>21</v>
      </c>
      <c r="AF1161" t="n">
        <v>5</v>
      </c>
      <c r="AG1161" t="n">
        <v>7</v>
      </c>
      <c r="AH1161" t="n">
        <v>5</v>
      </c>
      <c r="AI1161" t="n">
        <v>5</v>
      </c>
      <c r="AJ1161" t="n">
        <v>12</v>
      </c>
      <c r="AK1161" t="n">
        <v>12</v>
      </c>
      <c r="AL1161" t="n">
        <v>1</v>
      </c>
      <c r="AM1161" t="n">
        <v>1</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HYPERLINK("https://creighton-primo.hosted.exlibrisgroup.com/primo-explore/search?tab=default_tab&amp;search_scope=EVERYTHING&amp;vid=01CRU&amp;lang=en_US&amp;offset=0&amp;query=any,contains,991000079799702656","Catalog Record")</f>
        <v/>
      </c>
      <c r="AT1161">
        <f>HYPERLINK("http://www.worldcat.org/oclc/31347","WorldCat Record")</f>
        <v/>
      </c>
      <c r="AU1161" t="inlineStr">
        <is>
          <t>10568011267:eng</t>
        </is>
      </c>
      <c r="AV1161" t="inlineStr">
        <is>
          <t>31347</t>
        </is>
      </c>
      <c r="AW1161" t="inlineStr">
        <is>
          <t>991000079799702656</t>
        </is>
      </c>
      <c r="AX1161" t="inlineStr">
        <is>
          <t>991000079799702656</t>
        </is>
      </c>
      <c r="AY1161" t="inlineStr">
        <is>
          <t>2261040480002656</t>
        </is>
      </c>
      <c r="AZ1161" t="inlineStr">
        <is>
          <t>BOOK</t>
        </is>
      </c>
      <c r="BC1161" t="inlineStr">
        <is>
          <t>32285000702463</t>
        </is>
      </c>
      <c r="BD1161" t="inlineStr">
        <is>
          <t>893890384</t>
        </is>
      </c>
    </row>
    <row r="1162">
      <c r="A1162" t="inlineStr">
        <is>
          <t>No</t>
        </is>
      </c>
      <c r="B1162" t="inlineStr">
        <is>
          <t>BV825.2 .B528</t>
        </is>
      </c>
      <c r="C1162" t="inlineStr">
        <is>
          <t>0                      BV 0825200B  528</t>
        </is>
      </c>
      <c r="D1162" t="inlineStr">
        <is>
          <t>Bread broken and shared : broadening our vision of Eucharist / Paul Bernier.</t>
        </is>
      </c>
      <c r="F1162" t="inlineStr">
        <is>
          <t>No</t>
        </is>
      </c>
      <c r="G1162" t="inlineStr">
        <is>
          <t>1</t>
        </is>
      </c>
      <c r="H1162" t="inlineStr">
        <is>
          <t>No</t>
        </is>
      </c>
      <c r="I1162" t="inlineStr">
        <is>
          <t>No</t>
        </is>
      </c>
      <c r="J1162" t="inlineStr">
        <is>
          <t>0</t>
        </is>
      </c>
      <c r="K1162" t="inlineStr">
        <is>
          <t>Bernier, Paul.</t>
        </is>
      </c>
      <c r="L1162" t="inlineStr">
        <is>
          <t>Notre Dame, Ind. : Ave Maria Press, c1981.</t>
        </is>
      </c>
      <c r="M1162" t="inlineStr">
        <is>
          <t>1981</t>
        </is>
      </c>
      <c r="O1162" t="inlineStr">
        <is>
          <t>eng</t>
        </is>
      </c>
      <c r="P1162" t="inlineStr">
        <is>
          <t>inu</t>
        </is>
      </c>
      <c r="R1162" t="inlineStr">
        <is>
          <t xml:space="preserve">BV </t>
        </is>
      </c>
      <c r="S1162" t="n">
        <v>7</v>
      </c>
      <c r="T1162" t="n">
        <v>7</v>
      </c>
      <c r="U1162" t="inlineStr">
        <is>
          <t>2000-11-14</t>
        </is>
      </c>
      <c r="V1162" t="inlineStr">
        <is>
          <t>2000-11-14</t>
        </is>
      </c>
      <c r="W1162" t="inlineStr">
        <is>
          <t>1990-04-09</t>
        </is>
      </c>
      <c r="X1162" t="inlineStr">
        <is>
          <t>1990-04-09</t>
        </is>
      </c>
      <c r="Y1162" t="n">
        <v>188</v>
      </c>
      <c r="Z1162" t="n">
        <v>154</v>
      </c>
      <c r="AA1162" t="n">
        <v>160</v>
      </c>
      <c r="AB1162" t="n">
        <v>2</v>
      </c>
      <c r="AC1162" t="n">
        <v>2</v>
      </c>
      <c r="AD1162" t="n">
        <v>20</v>
      </c>
      <c r="AE1162" t="n">
        <v>20</v>
      </c>
      <c r="AF1162" t="n">
        <v>6</v>
      </c>
      <c r="AG1162" t="n">
        <v>6</v>
      </c>
      <c r="AH1162" t="n">
        <v>6</v>
      </c>
      <c r="AI1162" t="n">
        <v>6</v>
      </c>
      <c r="AJ1162" t="n">
        <v>15</v>
      </c>
      <c r="AK1162" t="n">
        <v>15</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HYPERLINK("https://creighton-primo.hosted.exlibrisgroup.com/primo-explore/search?tab=default_tab&amp;search_scope=EVERYTHING&amp;vid=01CRU&amp;lang=en_US&amp;offset=0&amp;query=any,contains,991005170039702656","Catalog Record")</f>
        <v/>
      </c>
      <c r="AT1162">
        <f>HYPERLINK("http://www.worldcat.org/oclc/7850300","WorldCat Record")</f>
        <v/>
      </c>
      <c r="AU1162" t="inlineStr">
        <is>
          <t>537193:eng</t>
        </is>
      </c>
      <c r="AV1162" t="inlineStr">
        <is>
          <t>7850300</t>
        </is>
      </c>
      <c r="AW1162" t="inlineStr">
        <is>
          <t>991005170039702656</t>
        </is>
      </c>
      <c r="AX1162" t="inlineStr">
        <is>
          <t>991005170039702656</t>
        </is>
      </c>
      <c r="AY1162" t="inlineStr">
        <is>
          <t>2269228660002656</t>
        </is>
      </c>
      <c r="AZ1162" t="inlineStr">
        <is>
          <t>BOOK</t>
        </is>
      </c>
      <c r="BB1162" t="inlineStr">
        <is>
          <t>9780877932314</t>
        </is>
      </c>
      <c r="BC1162" t="inlineStr">
        <is>
          <t>32285000113828</t>
        </is>
      </c>
      <c r="BD1162" t="inlineStr">
        <is>
          <t>893877050</t>
        </is>
      </c>
    </row>
    <row r="1163">
      <c r="A1163" t="inlineStr">
        <is>
          <t>No</t>
        </is>
      </c>
      <c r="B1163" t="inlineStr">
        <is>
          <t>BV825.2 .D385 1993</t>
        </is>
      </c>
      <c r="C1163" t="inlineStr">
        <is>
          <t>0                      BV 0825200D  385         1993</t>
        </is>
      </c>
      <c r="D1163" t="inlineStr">
        <is>
          <t>Bread of life and cup of joy : newer ecumenical perspectives on the eucharist / Horton Davies.</t>
        </is>
      </c>
      <c r="F1163" t="inlineStr">
        <is>
          <t>No</t>
        </is>
      </c>
      <c r="G1163" t="inlineStr">
        <is>
          <t>1</t>
        </is>
      </c>
      <c r="H1163" t="inlineStr">
        <is>
          <t>No</t>
        </is>
      </c>
      <c r="I1163" t="inlineStr">
        <is>
          <t>No</t>
        </is>
      </c>
      <c r="J1163" t="inlineStr">
        <is>
          <t>0</t>
        </is>
      </c>
      <c r="K1163" t="inlineStr">
        <is>
          <t>Davies, Horton.</t>
        </is>
      </c>
      <c r="L1163" t="inlineStr">
        <is>
          <t>Grand Rapids, Mich. : W.B. Eerdmans, c1993.</t>
        </is>
      </c>
      <c r="M1163" t="inlineStr">
        <is>
          <t>1993</t>
        </is>
      </c>
      <c r="O1163" t="inlineStr">
        <is>
          <t>eng</t>
        </is>
      </c>
      <c r="P1163" t="inlineStr">
        <is>
          <t>miu</t>
        </is>
      </c>
      <c r="R1163" t="inlineStr">
        <is>
          <t xml:space="preserve">BV </t>
        </is>
      </c>
      <c r="S1163" t="n">
        <v>8</v>
      </c>
      <c r="T1163" t="n">
        <v>8</v>
      </c>
      <c r="U1163" t="inlineStr">
        <is>
          <t>2004-11-21</t>
        </is>
      </c>
      <c r="V1163" t="inlineStr">
        <is>
          <t>2004-11-21</t>
        </is>
      </c>
      <c r="W1163" t="inlineStr">
        <is>
          <t>1994-06-28</t>
        </is>
      </c>
      <c r="X1163" t="inlineStr">
        <is>
          <t>1994-06-28</t>
        </is>
      </c>
      <c r="Y1163" t="n">
        <v>238</v>
      </c>
      <c r="Z1163" t="n">
        <v>175</v>
      </c>
      <c r="AA1163" t="n">
        <v>195</v>
      </c>
      <c r="AB1163" t="n">
        <v>1</v>
      </c>
      <c r="AC1163" t="n">
        <v>1</v>
      </c>
      <c r="AD1163" t="n">
        <v>15</v>
      </c>
      <c r="AE1163" t="n">
        <v>15</v>
      </c>
      <c r="AF1163" t="n">
        <v>7</v>
      </c>
      <c r="AG1163" t="n">
        <v>7</v>
      </c>
      <c r="AH1163" t="n">
        <v>4</v>
      </c>
      <c r="AI1163" t="n">
        <v>4</v>
      </c>
      <c r="AJ1163" t="n">
        <v>9</v>
      </c>
      <c r="AK1163" t="n">
        <v>9</v>
      </c>
      <c r="AL1163" t="n">
        <v>0</v>
      </c>
      <c r="AM1163" t="n">
        <v>0</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HYPERLINK("https://creighton-primo.hosted.exlibrisgroup.com/primo-explore/search?tab=default_tab&amp;search_scope=EVERYTHING&amp;vid=01CRU&amp;lang=en_US&amp;offset=0&amp;query=any,contains,991002098319702656","Catalog Record")</f>
        <v/>
      </c>
      <c r="AT1163">
        <f>HYPERLINK("http://www.worldcat.org/oclc/26929623","WorldCat Record")</f>
        <v/>
      </c>
      <c r="AU1163" t="inlineStr">
        <is>
          <t>29658406:eng</t>
        </is>
      </c>
      <c r="AV1163" t="inlineStr">
        <is>
          <t>26929623</t>
        </is>
      </c>
      <c r="AW1163" t="inlineStr">
        <is>
          <t>991002098319702656</t>
        </is>
      </c>
      <c r="AX1163" t="inlineStr">
        <is>
          <t>991002098319702656</t>
        </is>
      </c>
      <c r="AY1163" t="inlineStr">
        <is>
          <t>2256876220002656</t>
        </is>
      </c>
      <c r="AZ1163" t="inlineStr">
        <is>
          <t>BOOK</t>
        </is>
      </c>
      <c r="BB1163" t="inlineStr">
        <is>
          <t>9780802802521</t>
        </is>
      </c>
      <c r="BC1163" t="inlineStr">
        <is>
          <t>32285001924884</t>
        </is>
      </c>
      <c r="BD1163" t="inlineStr">
        <is>
          <t>893792032</t>
        </is>
      </c>
    </row>
    <row r="1164">
      <c r="A1164" t="inlineStr">
        <is>
          <t>No</t>
        </is>
      </c>
      <c r="B1164" t="inlineStr">
        <is>
          <t>BV825.2 .D6 1984</t>
        </is>
      </c>
      <c r="C1164" t="inlineStr">
        <is>
          <t>0                      BV 0825200D  6           1984</t>
        </is>
      </c>
      <c r="D1164" t="inlineStr">
        <is>
          <t>Say but the word : how the Lord's Supper can transform your life / Theodore E. Dobson.</t>
        </is>
      </c>
      <c r="F1164" t="inlineStr">
        <is>
          <t>No</t>
        </is>
      </c>
      <c r="G1164" t="inlineStr">
        <is>
          <t>1</t>
        </is>
      </c>
      <c r="H1164" t="inlineStr">
        <is>
          <t>No</t>
        </is>
      </c>
      <c r="I1164" t="inlineStr">
        <is>
          <t>No</t>
        </is>
      </c>
      <c r="J1164" t="inlineStr">
        <is>
          <t>0</t>
        </is>
      </c>
      <c r="K1164" t="inlineStr">
        <is>
          <t>Dobson, Theodore Elliott.</t>
        </is>
      </c>
      <c r="L1164" t="inlineStr">
        <is>
          <t>New York : Paulist Press, c1984.</t>
        </is>
      </c>
      <c r="M1164" t="inlineStr">
        <is>
          <t>1984</t>
        </is>
      </c>
      <c r="O1164" t="inlineStr">
        <is>
          <t>eng</t>
        </is>
      </c>
      <c r="P1164" t="inlineStr">
        <is>
          <t>nyu</t>
        </is>
      </c>
      <c r="R1164" t="inlineStr">
        <is>
          <t xml:space="preserve">BV </t>
        </is>
      </c>
      <c r="S1164" t="n">
        <v>4</v>
      </c>
      <c r="T1164" t="n">
        <v>4</v>
      </c>
      <c r="U1164" t="inlineStr">
        <is>
          <t>1995-11-16</t>
        </is>
      </c>
      <c r="V1164" t="inlineStr">
        <is>
          <t>1995-11-16</t>
        </is>
      </c>
      <c r="W1164" t="inlineStr">
        <is>
          <t>1992-01-27</t>
        </is>
      </c>
      <c r="X1164" t="inlineStr">
        <is>
          <t>1992-01-27</t>
        </is>
      </c>
      <c r="Y1164" t="n">
        <v>161</v>
      </c>
      <c r="Z1164" t="n">
        <v>147</v>
      </c>
      <c r="AA1164" t="n">
        <v>152</v>
      </c>
      <c r="AB1164" t="n">
        <v>2</v>
      </c>
      <c r="AC1164" t="n">
        <v>2</v>
      </c>
      <c r="AD1164" t="n">
        <v>10</v>
      </c>
      <c r="AE1164" t="n">
        <v>10</v>
      </c>
      <c r="AF1164" t="n">
        <v>0</v>
      </c>
      <c r="AG1164" t="n">
        <v>0</v>
      </c>
      <c r="AH1164" t="n">
        <v>2</v>
      </c>
      <c r="AI1164" t="n">
        <v>2</v>
      </c>
      <c r="AJ1164" t="n">
        <v>9</v>
      </c>
      <c r="AK1164" t="n">
        <v>9</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HYPERLINK("https://creighton-primo.hosted.exlibrisgroup.com/primo-explore/search?tab=default_tab&amp;search_scope=EVERYTHING&amp;vid=01CRU&amp;lang=en_US&amp;offset=0&amp;query=any,contains,991000511599702656","Catalog Record")</f>
        <v/>
      </c>
      <c r="AT1164">
        <f>HYPERLINK("http://www.worldcat.org/oclc/11241298","WorldCat Record")</f>
        <v/>
      </c>
      <c r="AU1164" t="inlineStr">
        <is>
          <t>256689184:eng</t>
        </is>
      </c>
      <c r="AV1164" t="inlineStr">
        <is>
          <t>11241298</t>
        </is>
      </c>
      <c r="AW1164" t="inlineStr">
        <is>
          <t>991000511599702656</t>
        </is>
      </c>
      <c r="AX1164" t="inlineStr">
        <is>
          <t>991000511599702656</t>
        </is>
      </c>
      <c r="AY1164" t="inlineStr">
        <is>
          <t>2269861400002656</t>
        </is>
      </c>
      <c r="AZ1164" t="inlineStr">
        <is>
          <t>BOOK</t>
        </is>
      </c>
      <c r="BB1164" t="inlineStr">
        <is>
          <t>9780809103553</t>
        </is>
      </c>
      <c r="BC1164" t="inlineStr">
        <is>
          <t>32285000925510</t>
        </is>
      </c>
      <c r="BD1164" t="inlineStr">
        <is>
          <t>893683482</t>
        </is>
      </c>
    </row>
    <row r="1165">
      <c r="A1165" t="inlineStr">
        <is>
          <t>No</t>
        </is>
      </c>
      <c r="B1165" t="inlineStr">
        <is>
          <t>BV825.2 .E28 1983</t>
        </is>
      </c>
      <c r="C1165" t="inlineStr">
        <is>
          <t>0                      BV 0825200E  28          1983</t>
        </is>
      </c>
      <c r="D1165" t="inlineStr">
        <is>
          <t>Ecumenical perspectives on baptism, eucharist and ministry / edited by Max Thurian.</t>
        </is>
      </c>
      <c r="F1165" t="inlineStr">
        <is>
          <t>No</t>
        </is>
      </c>
      <c r="G1165" t="inlineStr">
        <is>
          <t>1</t>
        </is>
      </c>
      <c r="H1165" t="inlineStr">
        <is>
          <t>No</t>
        </is>
      </c>
      <c r="I1165" t="inlineStr">
        <is>
          <t>No</t>
        </is>
      </c>
      <c r="J1165" t="inlineStr">
        <is>
          <t>0</t>
        </is>
      </c>
      <c r="L1165" t="inlineStr">
        <is>
          <t>Geneva : World Council of Churches, c1983.</t>
        </is>
      </c>
      <c r="M1165" t="inlineStr">
        <is>
          <t>1983</t>
        </is>
      </c>
      <c r="O1165" t="inlineStr">
        <is>
          <t>eng</t>
        </is>
      </c>
      <c r="P1165" t="inlineStr">
        <is>
          <t xml:space="preserve">sz </t>
        </is>
      </c>
      <c r="Q1165" t="inlineStr">
        <is>
          <t>Faith and order paper ; no. 116</t>
        </is>
      </c>
      <c r="R1165" t="inlineStr">
        <is>
          <t xml:space="preserve">BV </t>
        </is>
      </c>
      <c r="S1165" t="n">
        <v>8</v>
      </c>
      <c r="T1165" t="n">
        <v>8</v>
      </c>
      <c r="U1165" t="inlineStr">
        <is>
          <t>2004-04-23</t>
        </is>
      </c>
      <c r="V1165" t="inlineStr">
        <is>
          <t>2004-04-23</t>
        </is>
      </c>
      <c r="W1165" t="inlineStr">
        <is>
          <t>1992-01-27</t>
        </is>
      </c>
      <c r="X1165" t="inlineStr">
        <is>
          <t>1992-01-27</t>
        </is>
      </c>
      <c r="Y1165" t="n">
        <v>292</v>
      </c>
      <c r="Z1165" t="n">
        <v>195</v>
      </c>
      <c r="AA1165" t="n">
        <v>196</v>
      </c>
      <c r="AB1165" t="n">
        <v>1</v>
      </c>
      <c r="AC1165" t="n">
        <v>1</v>
      </c>
      <c r="AD1165" t="n">
        <v>18</v>
      </c>
      <c r="AE1165" t="n">
        <v>18</v>
      </c>
      <c r="AF1165" t="n">
        <v>6</v>
      </c>
      <c r="AG1165" t="n">
        <v>6</v>
      </c>
      <c r="AH1165" t="n">
        <v>4</v>
      </c>
      <c r="AI1165" t="n">
        <v>4</v>
      </c>
      <c r="AJ1165" t="n">
        <v>10</v>
      </c>
      <c r="AK1165" t="n">
        <v>10</v>
      </c>
      <c r="AL1165" t="n">
        <v>0</v>
      </c>
      <c r="AM1165" t="n">
        <v>0</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HYPERLINK("https://creighton-primo.hosted.exlibrisgroup.com/primo-explore/search?tab=default_tab&amp;search_scope=EVERYTHING&amp;vid=01CRU&amp;lang=en_US&amp;offset=0&amp;query=any,contains,991000271429702656","Catalog Record")</f>
        <v/>
      </c>
      <c r="AT1165">
        <f>HYPERLINK("http://www.worldcat.org/oclc/9862392","WorldCat Record")</f>
        <v/>
      </c>
      <c r="AU1165" t="inlineStr">
        <is>
          <t>115727052:eng</t>
        </is>
      </c>
      <c r="AV1165" t="inlineStr">
        <is>
          <t>9862392</t>
        </is>
      </c>
      <c r="AW1165" t="inlineStr">
        <is>
          <t>991000271429702656</t>
        </is>
      </c>
      <c r="AX1165" t="inlineStr">
        <is>
          <t>991000271429702656</t>
        </is>
      </c>
      <c r="AY1165" t="inlineStr">
        <is>
          <t>2269922340002656</t>
        </is>
      </c>
      <c r="AZ1165" t="inlineStr">
        <is>
          <t>BOOK</t>
        </is>
      </c>
      <c r="BB1165" t="inlineStr">
        <is>
          <t>9782825407585</t>
        </is>
      </c>
      <c r="BC1165" t="inlineStr">
        <is>
          <t>32285000925528</t>
        </is>
      </c>
      <c r="BD1165" t="inlineStr">
        <is>
          <t>893314809</t>
        </is>
      </c>
    </row>
    <row r="1166">
      <c r="A1166" t="inlineStr">
        <is>
          <t>No</t>
        </is>
      </c>
      <c r="B1166" t="inlineStr">
        <is>
          <t>BV825.2 .F35 1996</t>
        </is>
      </c>
      <c r="C1166" t="inlineStr">
        <is>
          <t>0                      BV 0825200F  35          1996</t>
        </is>
      </c>
      <c r="D1166" t="inlineStr">
        <is>
          <t>A holy and living sacrifice : the eucharist in Christian perspective / Ernest Falardeau.</t>
        </is>
      </c>
      <c r="F1166" t="inlineStr">
        <is>
          <t>No</t>
        </is>
      </c>
      <c r="G1166" t="inlineStr">
        <is>
          <t>1</t>
        </is>
      </c>
      <c r="H1166" t="inlineStr">
        <is>
          <t>No</t>
        </is>
      </c>
      <c r="I1166" t="inlineStr">
        <is>
          <t>No</t>
        </is>
      </c>
      <c r="J1166" t="inlineStr">
        <is>
          <t>0</t>
        </is>
      </c>
      <c r="K1166" t="inlineStr">
        <is>
          <t>Falardeau, Ernest R.</t>
        </is>
      </c>
      <c r="L1166" t="inlineStr">
        <is>
          <t>Collegeville, Minn. : Liturgical Press, c1996.</t>
        </is>
      </c>
      <c r="M1166" t="inlineStr">
        <is>
          <t>1996</t>
        </is>
      </c>
      <c r="O1166" t="inlineStr">
        <is>
          <t>eng</t>
        </is>
      </c>
      <c r="P1166" t="inlineStr">
        <is>
          <t>mnu</t>
        </is>
      </c>
      <c r="R1166" t="inlineStr">
        <is>
          <t xml:space="preserve">BV </t>
        </is>
      </c>
      <c r="S1166" t="n">
        <v>3</v>
      </c>
      <c r="T1166" t="n">
        <v>3</v>
      </c>
      <c r="U1166" t="inlineStr">
        <is>
          <t>2004-10-24</t>
        </is>
      </c>
      <c r="V1166" t="inlineStr">
        <is>
          <t>2004-10-24</t>
        </is>
      </c>
      <c r="W1166" t="inlineStr">
        <is>
          <t>1997-05-21</t>
        </is>
      </c>
      <c r="X1166" t="inlineStr">
        <is>
          <t>1997-05-21</t>
        </is>
      </c>
      <c r="Y1166" t="n">
        <v>130</v>
      </c>
      <c r="Z1166" t="n">
        <v>108</v>
      </c>
      <c r="AA1166" t="n">
        <v>108</v>
      </c>
      <c r="AB1166" t="n">
        <v>1</v>
      </c>
      <c r="AC1166" t="n">
        <v>1</v>
      </c>
      <c r="AD1166" t="n">
        <v>11</v>
      </c>
      <c r="AE1166" t="n">
        <v>11</v>
      </c>
      <c r="AF1166" t="n">
        <v>3</v>
      </c>
      <c r="AG1166" t="n">
        <v>3</v>
      </c>
      <c r="AH1166" t="n">
        <v>4</v>
      </c>
      <c r="AI1166" t="n">
        <v>4</v>
      </c>
      <c r="AJ1166" t="n">
        <v>7</v>
      </c>
      <c r="AK1166" t="n">
        <v>7</v>
      </c>
      <c r="AL1166" t="n">
        <v>0</v>
      </c>
      <c r="AM1166" t="n">
        <v>0</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HYPERLINK("https://creighton-primo.hosted.exlibrisgroup.com/primo-explore/search?tab=default_tab&amp;search_scope=EVERYTHING&amp;vid=01CRU&amp;lang=en_US&amp;offset=0&amp;query=any,contains,991002508719702656","Catalog Record")</f>
        <v/>
      </c>
      <c r="AT1166">
        <f>HYPERLINK("http://www.worldcat.org/oclc/32625720","WorldCat Record")</f>
        <v/>
      </c>
      <c r="AU1166" t="inlineStr">
        <is>
          <t>2048997541:eng</t>
        </is>
      </c>
      <c r="AV1166" t="inlineStr">
        <is>
          <t>32625720</t>
        </is>
      </c>
      <c r="AW1166" t="inlineStr">
        <is>
          <t>991002508719702656</t>
        </is>
      </c>
      <c r="AX1166" t="inlineStr">
        <is>
          <t>991002508719702656</t>
        </is>
      </c>
      <c r="AY1166" t="inlineStr">
        <is>
          <t>2269162250002656</t>
        </is>
      </c>
      <c r="AZ1166" t="inlineStr">
        <is>
          <t>BOOK</t>
        </is>
      </c>
      <c r="BB1166" t="inlineStr">
        <is>
          <t>9780814623299</t>
        </is>
      </c>
      <c r="BC1166" t="inlineStr">
        <is>
          <t>32285002610342</t>
        </is>
      </c>
      <c r="BD1166" t="inlineStr">
        <is>
          <t>893445206</t>
        </is>
      </c>
    </row>
    <row r="1167">
      <c r="A1167" t="inlineStr">
        <is>
          <t>No</t>
        </is>
      </c>
      <c r="B1167" t="inlineStr">
        <is>
          <t>BV825.2 .K54 1983</t>
        </is>
      </c>
      <c r="C1167" t="inlineStr">
        <is>
          <t>0                      BV 0825200K  54          1983</t>
        </is>
      </c>
      <c r="D1167" t="inlineStr">
        <is>
          <t>The Eucharist in Bible and Liturgy / G.D. Kilpatrick.</t>
        </is>
      </c>
      <c r="F1167" t="inlineStr">
        <is>
          <t>No</t>
        </is>
      </c>
      <c r="G1167" t="inlineStr">
        <is>
          <t>1</t>
        </is>
      </c>
      <c r="H1167" t="inlineStr">
        <is>
          <t>No</t>
        </is>
      </c>
      <c r="I1167" t="inlineStr">
        <is>
          <t>No</t>
        </is>
      </c>
      <c r="J1167" t="inlineStr">
        <is>
          <t>0</t>
        </is>
      </c>
      <c r="K1167" t="inlineStr">
        <is>
          <t>Kilpatrick, George Dunbar.</t>
        </is>
      </c>
      <c r="L1167" t="inlineStr">
        <is>
          <t>Cambridge [Cambridgeshire] ; New York : Cambridge University Press, 1983.</t>
        </is>
      </c>
      <c r="M1167" t="inlineStr">
        <is>
          <t>1983</t>
        </is>
      </c>
      <c r="O1167" t="inlineStr">
        <is>
          <t>eng</t>
        </is>
      </c>
      <c r="P1167" t="inlineStr">
        <is>
          <t>enk</t>
        </is>
      </c>
      <c r="Q1167" t="inlineStr">
        <is>
          <t>The Moorhouse lectures ; 1975</t>
        </is>
      </c>
      <c r="R1167" t="inlineStr">
        <is>
          <t xml:space="preserve">BV </t>
        </is>
      </c>
      <c r="S1167" t="n">
        <v>5</v>
      </c>
      <c r="T1167" t="n">
        <v>5</v>
      </c>
      <c r="U1167" t="inlineStr">
        <is>
          <t>2004-11-22</t>
        </is>
      </c>
      <c r="V1167" t="inlineStr">
        <is>
          <t>2004-11-22</t>
        </is>
      </c>
      <c r="W1167" t="inlineStr">
        <is>
          <t>1992-01-27</t>
        </is>
      </c>
      <c r="X1167" t="inlineStr">
        <is>
          <t>1992-01-27</t>
        </is>
      </c>
      <c r="Y1167" t="n">
        <v>306</v>
      </c>
      <c r="Z1167" t="n">
        <v>205</v>
      </c>
      <c r="AA1167" t="n">
        <v>227</v>
      </c>
      <c r="AB1167" t="n">
        <v>1</v>
      </c>
      <c r="AC1167" t="n">
        <v>1</v>
      </c>
      <c r="AD1167" t="n">
        <v>14</v>
      </c>
      <c r="AE1167" t="n">
        <v>15</v>
      </c>
      <c r="AF1167" t="n">
        <v>4</v>
      </c>
      <c r="AG1167" t="n">
        <v>5</v>
      </c>
      <c r="AH1167" t="n">
        <v>3</v>
      </c>
      <c r="AI1167" t="n">
        <v>3</v>
      </c>
      <c r="AJ1167" t="n">
        <v>12</v>
      </c>
      <c r="AK1167" t="n">
        <v>13</v>
      </c>
      <c r="AL1167" t="n">
        <v>0</v>
      </c>
      <c r="AM1167" t="n">
        <v>0</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HYPERLINK("https://creighton-primo.hosted.exlibrisgroup.com/primo-explore/search?tab=default_tab&amp;search_scope=EVERYTHING&amp;vid=01CRU&amp;lang=en_US&amp;offset=0&amp;query=any,contains,991000247979702656","Catalog Record")</f>
        <v/>
      </c>
      <c r="AT1167">
        <f>HYPERLINK("http://www.worldcat.org/oclc/9731550","WorldCat Record")</f>
        <v/>
      </c>
      <c r="AU1167" t="inlineStr">
        <is>
          <t>43580298:eng</t>
        </is>
      </c>
      <c r="AV1167" t="inlineStr">
        <is>
          <t>9731550</t>
        </is>
      </c>
      <c r="AW1167" t="inlineStr">
        <is>
          <t>991000247979702656</t>
        </is>
      </c>
      <c r="AX1167" t="inlineStr">
        <is>
          <t>991000247979702656</t>
        </is>
      </c>
      <c r="AY1167" t="inlineStr">
        <is>
          <t>2272472010002656</t>
        </is>
      </c>
      <c r="AZ1167" t="inlineStr">
        <is>
          <t>BOOK</t>
        </is>
      </c>
      <c r="BB1167" t="inlineStr">
        <is>
          <t>9780521246750</t>
        </is>
      </c>
      <c r="BC1167" t="inlineStr">
        <is>
          <t>32285000925551</t>
        </is>
      </c>
      <c r="BD1167" t="inlineStr">
        <is>
          <t>893237191</t>
        </is>
      </c>
    </row>
    <row r="1168">
      <c r="A1168" t="inlineStr">
        <is>
          <t>No</t>
        </is>
      </c>
      <c r="B1168" t="inlineStr">
        <is>
          <t>BV825.2 .M39 1997</t>
        </is>
      </c>
      <c r="C1168" t="inlineStr">
        <is>
          <t>0                      BV 0825200M  39          1997</t>
        </is>
      </c>
      <c r="D1168" t="inlineStr">
        <is>
          <t>The Lord's Supper / Martin E. Marty.</t>
        </is>
      </c>
      <c r="F1168" t="inlineStr">
        <is>
          <t>No</t>
        </is>
      </c>
      <c r="G1168" t="inlineStr">
        <is>
          <t>1</t>
        </is>
      </c>
      <c r="H1168" t="inlineStr">
        <is>
          <t>No</t>
        </is>
      </c>
      <c r="I1168" t="inlineStr">
        <is>
          <t>No</t>
        </is>
      </c>
      <c r="J1168" t="inlineStr">
        <is>
          <t>0</t>
        </is>
      </c>
      <c r="K1168" t="inlineStr">
        <is>
          <t>Marty, Martin E., 1928-</t>
        </is>
      </c>
      <c r="L1168" t="inlineStr">
        <is>
          <t>Minneapolis : Augsburg, c1997.</t>
        </is>
      </c>
      <c r="M1168" t="inlineStr">
        <is>
          <t>1997</t>
        </is>
      </c>
      <c r="N1168" t="inlineStr">
        <is>
          <t>Expanded ed.</t>
        </is>
      </c>
      <c r="O1168" t="inlineStr">
        <is>
          <t>eng</t>
        </is>
      </c>
      <c r="P1168" t="inlineStr">
        <is>
          <t>mnu</t>
        </is>
      </c>
      <c r="R1168" t="inlineStr">
        <is>
          <t xml:space="preserve">BV </t>
        </is>
      </c>
      <c r="S1168" t="n">
        <v>3</v>
      </c>
      <c r="T1168" t="n">
        <v>3</v>
      </c>
      <c r="U1168" t="inlineStr">
        <is>
          <t>2004-10-24</t>
        </is>
      </c>
      <c r="V1168" t="inlineStr">
        <is>
          <t>2004-10-24</t>
        </is>
      </c>
      <c r="W1168" t="inlineStr">
        <is>
          <t>2004-03-17</t>
        </is>
      </c>
      <c r="X1168" t="inlineStr">
        <is>
          <t>2004-03-17</t>
        </is>
      </c>
      <c r="Y1168" t="n">
        <v>96</v>
      </c>
      <c r="Z1168" t="n">
        <v>91</v>
      </c>
      <c r="AA1168" t="n">
        <v>364</v>
      </c>
      <c r="AB1168" t="n">
        <v>1</v>
      </c>
      <c r="AC1168" t="n">
        <v>6</v>
      </c>
      <c r="AD1168" t="n">
        <v>5</v>
      </c>
      <c r="AE1168" t="n">
        <v>22</v>
      </c>
      <c r="AF1168" t="n">
        <v>1</v>
      </c>
      <c r="AG1168" t="n">
        <v>6</v>
      </c>
      <c r="AH1168" t="n">
        <v>2</v>
      </c>
      <c r="AI1168" t="n">
        <v>6</v>
      </c>
      <c r="AJ1168" t="n">
        <v>4</v>
      </c>
      <c r="AK1168" t="n">
        <v>11</v>
      </c>
      <c r="AL1168" t="n">
        <v>0</v>
      </c>
      <c r="AM1168" t="n">
        <v>4</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HYPERLINK("https://creighton-primo.hosted.exlibrisgroup.com/primo-explore/search?tab=default_tab&amp;search_scope=EVERYTHING&amp;vid=01CRU&amp;lang=en_US&amp;offset=0&amp;query=any,contains,991004263849702656","Catalog Record")</f>
        <v/>
      </c>
      <c r="AT1168">
        <f>HYPERLINK("http://www.worldcat.org/oclc/36343296","WorldCat Record")</f>
        <v/>
      </c>
      <c r="AU1168" t="inlineStr">
        <is>
          <t>3857837957:eng</t>
        </is>
      </c>
      <c r="AV1168" t="inlineStr">
        <is>
          <t>36343296</t>
        </is>
      </c>
      <c r="AW1168" t="inlineStr">
        <is>
          <t>991004263849702656</t>
        </is>
      </c>
      <c r="AX1168" t="inlineStr">
        <is>
          <t>991004263849702656</t>
        </is>
      </c>
      <c r="AY1168" t="inlineStr">
        <is>
          <t>2271945780002656</t>
        </is>
      </c>
      <c r="AZ1168" t="inlineStr">
        <is>
          <t>BOOK</t>
        </is>
      </c>
      <c r="BB1168" t="inlineStr">
        <is>
          <t>9780806633398</t>
        </is>
      </c>
      <c r="BC1168" t="inlineStr">
        <is>
          <t>32285004894811</t>
        </is>
      </c>
      <c r="BD1168" t="inlineStr">
        <is>
          <t>893875883</t>
        </is>
      </c>
    </row>
    <row r="1169">
      <c r="A1169" t="inlineStr">
        <is>
          <t>No</t>
        </is>
      </c>
      <c r="B1169" t="inlineStr">
        <is>
          <t>BV825.2 .R36 1991</t>
        </is>
      </c>
      <c r="C1169" t="inlineStr">
        <is>
          <t>0                      BV 0825200R  36          1991</t>
        </is>
      </c>
      <c r="D1169" t="inlineStr">
        <is>
          <t>Words around the table / by Gail Ramshaw ; art by Linda Ekstrom.</t>
        </is>
      </c>
      <c r="F1169" t="inlineStr">
        <is>
          <t>No</t>
        </is>
      </c>
      <c r="G1169" t="inlineStr">
        <is>
          <t>1</t>
        </is>
      </c>
      <c r="H1169" t="inlineStr">
        <is>
          <t>No</t>
        </is>
      </c>
      <c r="I1169" t="inlineStr">
        <is>
          <t>No</t>
        </is>
      </c>
      <c r="J1169" t="inlineStr">
        <is>
          <t>0</t>
        </is>
      </c>
      <c r="K1169" t="inlineStr">
        <is>
          <t>Ramshaw, Gail, 1947-</t>
        </is>
      </c>
      <c r="L1169" t="inlineStr">
        <is>
          <t>Chicago : Liturgy Training Publications, c1991.</t>
        </is>
      </c>
      <c r="M1169" t="inlineStr">
        <is>
          <t>1991</t>
        </is>
      </c>
      <c r="O1169" t="inlineStr">
        <is>
          <t>eng</t>
        </is>
      </c>
      <c r="P1169" t="inlineStr">
        <is>
          <t>ilu</t>
        </is>
      </c>
      <c r="R1169" t="inlineStr">
        <is>
          <t xml:space="preserve">BV </t>
        </is>
      </c>
      <c r="S1169" t="n">
        <v>3</v>
      </c>
      <c r="T1169" t="n">
        <v>3</v>
      </c>
      <c r="U1169" t="inlineStr">
        <is>
          <t>2004-10-24</t>
        </is>
      </c>
      <c r="V1169" t="inlineStr">
        <is>
          <t>2004-10-24</t>
        </is>
      </c>
      <c r="W1169" t="inlineStr">
        <is>
          <t>2004-05-05</t>
        </is>
      </c>
      <c r="X1169" t="inlineStr">
        <is>
          <t>2004-05-05</t>
        </is>
      </c>
      <c r="Y1169" t="n">
        <v>89</v>
      </c>
      <c r="Z1169" t="n">
        <v>77</v>
      </c>
      <c r="AA1169" t="n">
        <v>77</v>
      </c>
      <c r="AB1169" t="n">
        <v>1</v>
      </c>
      <c r="AC1169" t="n">
        <v>1</v>
      </c>
      <c r="AD1169" t="n">
        <v>8</v>
      </c>
      <c r="AE1169" t="n">
        <v>8</v>
      </c>
      <c r="AF1169" t="n">
        <v>2</v>
      </c>
      <c r="AG1169" t="n">
        <v>2</v>
      </c>
      <c r="AH1169" t="n">
        <v>1</v>
      </c>
      <c r="AI1169" t="n">
        <v>1</v>
      </c>
      <c r="AJ1169" t="n">
        <v>5</v>
      </c>
      <c r="AK1169" t="n">
        <v>5</v>
      </c>
      <c r="AL1169" t="n">
        <v>0</v>
      </c>
      <c r="AM1169" t="n">
        <v>0</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HYPERLINK("https://creighton-primo.hosted.exlibrisgroup.com/primo-explore/search?tab=default_tab&amp;search_scope=EVERYTHING&amp;vid=01CRU&amp;lang=en_US&amp;offset=0&amp;query=any,contains,991004295819702656","Catalog Record")</f>
        <v/>
      </c>
      <c r="AT1169">
        <f>HYPERLINK("http://www.worldcat.org/oclc/24759379","WorldCat Record")</f>
        <v/>
      </c>
      <c r="AU1169" t="inlineStr">
        <is>
          <t>26356340:eng</t>
        </is>
      </c>
      <c r="AV1169" t="inlineStr">
        <is>
          <t>24759379</t>
        </is>
      </c>
      <c r="AW1169" t="inlineStr">
        <is>
          <t>991004295819702656</t>
        </is>
      </c>
      <c r="AX1169" t="inlineStr">
        <is>
          <t>991004295819702656</t>
        </is>
      </c>
      <c r="AY1169" t="inlineStr">
        <is>
          <t>2259148650002656</t>
        </is>
      </c>
      <c r="AZ1169" t="inlineStr">
        <is>
          <t>BOOK</t>
        </is>
      </c>
      <c r="BB1169" t="inlineStr">
        <is>
          <t>9780929650289</t>
        </is>
      </c>
      <c r="BC1169" t="inlineStr">
        <is>
          <t>32285004904198</t>
        </is>
      </c>
      <c r="BD1169" t="inlineStr">
        <is>
          <t>893513062</t>
        </is>
      </c>
    </row>
    <row r="1170">
      <c r="A1170" t="inlineStr">
        <is>
          <t>No</t>
        </is>
      </c>
      <c r="B1170" t="inlineStr">
        <is>
          <t>BV825.2 .R47 1985</t>
        </is>
      </c>
      <c r="C1170" t="inlineStr">
        <is>
          <t>0                      BV 0825200R  47          1985</t>
        </is>
      </c>
      <c r="D1170" t="inlineStr">
        <is>
          <t>The Supper of the Lord : the New Testament, ecumenical dialogues, and faith and order on Eucharist / John Reumann.</t>
        </is>
      </c>
      <c r="F1170" t="inlineStr">
        <is>
          <t>No</t>
        </is>
      </c>
      <c r="G1170" t="inlineStr">
        <is>
          <t>1</t>
        </is>
      </c>
      <c r="H1170" t="inlineStr">
        <is>
          <t>No</t>
        </is>
      </c>
      <c r="I1170" t="inlineStr">
        <is>
          <t>No</t>
        </is>
      </c>
      <c r="J1170" t="inlineStr">
        <is>
          <t>0</t>
        </is>
      </c>
      <c r="K1170" t="inlineStr">
        <is>
          <t>Reumann, John.</t>
        </is>
      </c>
      <c r="L1170" t="inlineStr">
        <is>
          <t>Philadelphia : Fortress Press, c1985.</t>
        </is>
      </c>
      <c r="M1170" t="inlineStr">
        <is>
          <t>1985</t>
        </is>
      </c>
      <c r="O1170" t="inlineStr">
        <is>
          <t>eng</t>
        </is>
      </c>
      <c r="P1170" t="inlineStr">
        <is>
          <t>pau</t>
        </is>
      </c>
      <c r="R1170" t="inlineStr">
        <is>
          <t xml:space="preserve">BV </t>
        </is>
      </c>
      <c r="S1170" t="n">
        <v>5</v>
      </c>
      <c r="T1170" t="n">
        <v>5</v>
      </c>
      <c r="U1170" t="inlineStr">
        <is>
          <t>2004-11-09</t>
        </is>
      </c>
      <c r="V1170" t="inlineStr">
        <is>
          <t>2004-11-09</t>
        </is>
      </c>
      <c r="W1170" t="inlineStr">
        <is>
          <t>1992-01-27</t>
        </is>
      </c>
      <c r="X1170" t="inlineStr">
        <is>
          <t>1992-01-27</t>
        </is>
      </c>
      <c r="Y1170" t="n">
        <v>359</v>
      </c>
      <c r="Z1170" t="n">
        <v>296</v>
      </c>
      <c r="AA1170" t="n">
        <v>304</v>
      </c>
      <c r="AB1170" t="n">
        <v>1</v>
      </c>
      <c r="AC1170" t="n">
        <v>1</v>
      </c>
      <c r="AD1170" t="n">
        <v>30</v>
      </c>
      <c r="AE1170" t="n">
        <v>31</v>
      </c>
      <c r="AF1170" t="n">
        <v>13</v>
      </c>
      <c r="AG1170" t="n">
        <v>14</v>
      </c>
      <c r="AH1170" t="n">
        <v>6</v>
      </c>
      <c r="AI1170" t="n">
        <v>6</v>
      </c>
      <c r="AJ1170" t="n">
        <v>21</v>
      </c>
      <c r="AK1170" t="n">
        <v>22</v>
      </c>
      <c r="AL1170" t="n">
        <v>0</v>
      </c>
      <c r="AM1170" t="n">
        <v>0</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HYPERLINK("https://creighton-primo.hosted.exlibrisgroup.com/primo-explore/search?tab=default_tab&amp;search_scope=EVERYTHING&amp;vid=01CRU&amp;lang=en_US&amp;offset=0&amp;query=any,contains,991000455389702656","Catalog Record")</f>
        <v/>
      </c>
      <c r="AT1170">
        <f>HYPERLINK("http://www.worldcat.org/oclc/10913687","WorldCat Record")</f>
        <v/>
      </c>
      <c r="AU1170" t="inlineStr">
        <is>
          <t>889320737:eng</t>
        </is>
      </c>
      <c r="AV1170" t="inlineStr">
        <is>
          <t>10913687</t>
        </is>
      </c>
      <c r="AW1170" t="inlineStr">
        <is>
          <t>991000455389702656</t>
        </is>
      </c>
      <c r="AX1170" t="inlineStr">
        <is>
          <t>991000455389702656</t>
        </is>
      </c>
      <c r="AY1170" t="inlineStr">
        <is>
          <t>2258646790002656</t>
        </is>
      </c>
      <c r="AZ1170" t="inlineStr">
        <is>
          <t>BOOK</t>
        </is>
      </c>
      <c r="BB1170" t="inlineStr">
        <is>
          <t>9780800618162</t>
        </is>
      </c>
      <c r="BC1170" t="inlineStr">
        <is>
          <t>32285000925577</t>
        </is>
      </c>
      <c r="BD1170" t="inlineStr">
        <is>
          <t>893243262</t>
        </is>
      </c>
    </row>
    <row r="1171">
      <c r="A1171" t="inlineStr">
        <is>
          <t>No</t>
        </is>
      </c>
      <c r="B1171" t="inlineStr">
        <is>
          <t>BV825.2 .T5313 1984</t>
        </is>
      </c>
      <c r="C1171" t="inlineStr">
        <is>
          <t>0                      BV 0825200T  5313        1984</t>
        </is>
      </c>
      <c r="D1171" t="inlineStr">
        <is>
          <t>The mystery of the Eucharist : an ecumenical approach / by Max Thurian ; translated by Emily Chisholm.</t>
        </is>
      </c>
      <c r="F1171" t="inlineStr">
        <is>
          <t>No</t>
        </is>
      </c>
      <c r="G1171" t="inlineStr">
        <is>
          <t>1</t>
        </is>
      </c>
      <c r="H1171" t="inlineStr">
        <is>
          <t>No</t>
        </is>
      </c>
      <c r="I1171" t="inlineStr">
        <is>
          <t>No</t>
        </is>
      </c>
      <c r="J1171" t="inlineStr">
        <is>
          <t>0</t>
        </is>
      </c>
      <c r="K1171" t="inlineStr">
        <is>
          <t>Thurian, Max.</t>
        </is>
      </c>
      <c r="L1171" t="inlineStr">
        <is>
          <t>Grand Rapids, Mich. : W.B. Eerdmans Pub. Co., 1984.</t>
        </is>
      </c>
      <c r="M1171" t="inlineStr">
        <is>
          <t>1984</t>
        </is>
      </c>
      <c r="N1171" t="inlineStr">
        <is>
          <t>American ed.</t>
        </is>
      </c>
      <c r="O1171" t="inlineStr">
        <is>
          <t>eng</t>
        </is>
      </c>
      <c r="P1171" t="inlineStr">
        <is>
          <t>miu</t>
        </is>
      </c>
      <c r="R1171" t="inlineStr">
        <is>
          <t xml:space="preserve">BV </t>
        </is>
      </c>
      <c r="S1171" t="n">
        <v>6</v>
      </c>
      <c r="T1171" t="n">
        <v>6</v>
      </c>
      <c r="U1171" t="inlineStr">
        <is>
          <t>1997-04-22</t>
        </is>
      </c>
      <c r="V1171" t="inlineStr">
        <is>
          <t>1997-04-22</t>
        </is>
      </c>
      <c r="W1171" t="inlineStr">
        <is>
          <t>1992-01-27</t>
        </is>
      </c>
      <c r="X1171" t="inlineStr">
        <is>
          <t>1992-01-27</t>
        </is>
      </c>
      <c r="Y1171" t="n">
        <v>266</v>
      </c>
      <c r="Z1171" t="n">
        <v>236</v>
      </c>
      <c r="AA1171" t="n">
        <v>264</v>
      </c>
      <c r="AB1171" t="n">
        <v>4</v>
      </c>
      <c r="AC1171" t="n">
        <v>4</v>
      </c>
      <c r="AD1171" t="n">
        <v>18</v>
      </c>
      <c r="AE1171" t="n">
        <v>19</v>
      </c>
      <c r="AF1171" t="n">
        <v>6</v>
      </c>
      <c r="AG1171" t="n">
        <v>6</v>
      </c>
      <c r="AH1171" t="n">
        <v>4</v>
      </c>
      <c r="AI1171" t="n">
        <v>4</v>
      </c>
      <c r="AJ1171" t="n">
        <v>14</v>
      </c>
      <c r="AK1171" t="n">
        <v>15</v>
      </c>
      <c r="AL1171" t="n">
        <v>1</v>
      </c>
      <c r="AM1171" t="n">
        <v>1</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HYPERLINK("https://creighton-primo.hosted.exlibrisgroup.com/primo-explore/search?tab=default_tab&amp;search_scope=EVERYTHING&amp;vid=01CRU&amp;lang=en_US&amp;offset=0&amp;query=any,contains,991000454399702656","Catalog Record")</f>
        <v/>
      </c>
      <c r="AT1171">
        <f>HYPERLINK("http://www.worldcat.org/oclc/10913115","WorldCat Record")</f>
        <v/>
      </c>
      <c r="AU1171" t="inlineStr">
        <is>
          <t>803579:eng</t>
        </is>
      </c>
      <c r="AV1171" t="inlineStr">
        <is>
          <t>10913115</t>
        </is>
      </c>
      <c r="AW1171" t="inlineStr">
        <is>
          <t>991000454399702656</t>
        </is>
      </c>
      <c r="AX1171" t="inlineStr">
        <is>
          <t>991000454399702656</t>
        </is>
      </c>
      <c r="AY1171" t="inlineStr">
        <is>
          <t>2259019850002656</t>
        </is>
      </c>
      <c r="AZ1171" t="inlineStr">
        <is>
          <t>BOOK</t>
        </is>
      </c>
      <c r="BB1171" t="inlineStr">
        <is>
          <t>9780802800282</t>
        </is>
      </c>
      <c r="BC1171" t="inlineStr">
        <is>
          <t>32285000925585</t>
        </is>
      </c>
      <c r="BD1171" t="inlineStr">
        <is>
          <t>893714597</t>
        </is>
      </c>
    </row>
    <row r="1172">
      <c r="A1172" t="inlineStr">
        <is>
          <t>No</t>
        </is>
      </c>
      <c r="B1172" t="inlineStr">
        <is>
          <t>BV825.2 .T68 1988</t>
        </is>
      </c>
      <c r="C1172" t="inlineStr">
        <is>
          <t>0                      BV 0825200T  68          1988</t>
        </is>
      </c>
      <c r="D1172" t="inlineStr">
        <is>
          <t>Inculturation : the Eucharist in Africa / by Phillip Tovey.</t>
        </is>
      </c>
      <c r="F1172" t="inlineStr">
        <is>
          <t>No</t>
        </is>
      </c>
      <c r="G1172" t="inlineStr">
        <is>
          <t>1</t>
        </is>
      </c>
      <c r="H1172" t="inlineStr">
        <is>
          <t>No</t>
        </is>
      </c>
      <c r="I1172" t="inlineStr">
        <is>
          <t>No</t>
        </is>
      </c>
      <c r="J1172" t="inlineStr">
        <is>
          <t>0</t>
        </is>
      </c>
      <c r="K1172" t="inlineStr">
        <is>
          <t>Tovey, Phillip.</t>
        </is>
      </c>
      <c r="L1172" t="inlineStr">
        <is>
          <t>Bramcote, Nottingham : Grove Books, c1988.</t>
        </is>
      </c>
      <c r="M1172" t="inlineStr">
        <is>
          <t>1988</t>
        </is>
      </c>
      <c r="O1172" t="inlineStr">
        <is>
          <t>eng</t>
        </is>
      </c>
      <c r="P1172" t="inlineStr">
        <is>
          <t>enk</t>
        </is>
      </c>
      <c r="Q1172" t="inlineStr">
        <is>
          <t>Alcuin/GROW liturgical study, 0951-2667 ; 7</t>
        </is>
      </c>
      <c r="R1172" t="inlineStr">
        <is>
          <t xml:space="preserve">BV </t>
        </is>
      </c>
      <c r="S1172" t="n">
        <v>2</v>
      </c>
      <c r="T1172" t="n">
        <v>2</v>
      </c>
      <c r="U1172" t="inlineStr">
        <is>
          <t>2004-03-11</t>
        </is>
      </c>
      <c r="V1172" t="inlineStr">
        <is>
          <t>2004-03-11</t>
        </is>
      </c>
      <c r="W1172" t="inlineStr">
        <is>
          <t>1994-07-21</t>
        </is>
      </c>
      <c r="X1172" t="inlineStr">
        <is>
          <t>1994-07-21</t>
        </is>
      </c>
      <c r="Y1172" t="n">
        <v>110</v>
      </c>
      <c r="Z1172" t="n">
        <v>68</v>
      </c>
      <c r="AA1172" t="n">
        <v>79</v>
      </c>
      <c r="AB1172" t="n">
        <v>1</v>
      </c>
      <c r="AC1172" t="n">
        <v>1</v>
      </c>
      <c r="AD1172" t="n">
        <v>5</v>
      </c>
      <c r="AE1172" t="n">
        <v>5</v>
      </c>
      <c r="AF1172" t="n">
        <v>2</v>
      </c>
      <c r="AG1172" t="n">
        <v>2</v>
      </c>
      <c r="AH1172" t="n">
        <v>2</v>
      </c>
      <c r="AI1172" t="n">
        <v>2</v>
      </c>
      <c r="AJ1172" t="n">
        <v>4</v>
      </c>
      <c r="AK1172" t="n">
        <v>4</v>
      </c>
      <c r="AL1172" t="n">
        <v>0</v>
      </c>
      <c r="AM1172" t="n">
        <v>0</v>
      </c>
      <c r="AN1172" t="n">
        <v>0</v>
      </c>
      <c r="AO1172" t="n">
        <v>0</v>
      </c>
      <c r="AP1172" t="inlineStr">
        <is>
          <t>No</t>
        </is>
      </c>
      <c r="AQ1172" t="inlineStr">
        <is>
          <t>Yes</t>
        </is>
      </c>
      <c r="AR1172">
        <f>HYPERLINK("http://catalog.hathitrust.org/Record/002059046","HathiTrust Record")</f>
        <v/>
      </c>
      <c r="AS1172">
        <f>HYPERLINK("https://creighton-primo.hosted.exlibrisgroup.com/primo-explore/search?tab=default_tab&amp;search_scope=EVERYTHING&amp;vid=01CRU&amp;lang=en_US&amp;offset=0&amp;query=any,contains,991001401289702656","Catalog Record")</f>
        <v/>
      </c>
      <c r="AT1172">
        <f>HYPERLINK("http://www.worldcat.org/oclc/18822514","WorldCat Record")</f>
        <v/>
      </c>
      <c r="AU1172" t="inlineStr">
        <is>
          <t>322411240:eng</t>
        </is>
      </c>
      <c r="AV1172" t="inlineStr">
        <is>
          <t>18822514</t>
        </is>
      </c>
      <c r="AW1172" t="inlineStr">
        <is>
          <t>991001401289702656</t>
        </is>
      </c>
      <c r="AX1172" t="inlineStr">
        <is>
          <t>991001401289702656</t>
        </is>
      </c>
      <c r="AY1172" t="inlineStr">
        <is>
          <t>2255879020002656</t>
        </is>
      </c>
      <c r="AZ1172" t="inlineStr">
        <is>
          <t>BOOK</t>
        </is>
      </c>
      <c r="BB1172" t="inlineStr">
        <is>
          <t>9781851740918</t>
        </is>
      </c>
      <c r="BC1172" t="inlineStr">
        <is>
          <t>32285001932317</t>
        </is>
      </c>
      <c r="BD1172" t="inlineStr">
        <is>
          <t>893772578</t>
        </is>
      </c>
    </row>
    <row r="1173">
      <c r="A1173" t="inlineStr">
        <is>
          <t>No</t>
        </is>
      </c>
      <c r="B1173" t="inlineStr">
        <is>
          <t>BV825.2 .W26 1981</t>
        </is>
      </c>
      <c r="C1173" t="inlineStr">
        <is>
          <t>0                      BV 0825200W  26          1981</t>
        </is>
      </c>
      <c r="D1173" t="inlineStr">
        <is>
          <t>Eucharist and eschatology / Geoffrey Wainwright.</t>
        </is>
      </c>
      <c r="F1173" t="inlineStr">
        <is>
          <t>No</t>
        </is>
      </c>
      <c r="G1173" t="inlineStr">
        <is>
          <t>1</t>
        </is>
      </c>
      <c r="H1173" t="inlineStr">
        <is>
          <t>No</t>
        </is>
      </c>
      <c r="I1173" t="inlineStr">
        <is>
          <t>No</t>
        </is>
      </c>
      <c r="J1173" t="inlineStr">
        <is>
          <t>0</t>
        </is>
      </c>
      <c r="K1173" t="inlineStr">
        <is>
          <t>Wainwright, Geoffrey, 1939-</t>
        </is>
      </c>
      <c r="L1173" t="inlineStr">
        <is>
          <t>New York : Oxford University Press, 1981.</t>
        </is>
      </c>
      <c r="M1173" t="inlineStr">
        <is>
          <t>1981</t>
        </is>
      </c>
      <c r="O1173" t="inlineStr">
        <is>
          <t>eng</t>
        </is>
      </c>
      <c r="P1173" t="inlineStr">
        <is>
          <t>nyu</t>
        </is>
      </c>
      <c r="R1173" t="inlineStr">
        <is>
          <t xml:space="preserve">BV </t>
        </is>
      </c>
      <c r="S1173" t="n">
        <v>6</v>
      </c>
      <c r="T1173" t="n">
        <v>6</v>
      </c>
      <c r="U1173" t="inlineStr">
        <is>
          <t>1998-02-23</t>
        </is>
      </c>
      <c r="V1173" t="inlineStr">
        <is>
          <t>1998-02-23</t>
        </is>
      </c>
      <c r="W1173" t="inlineStr">
        <is>
          <t>1991-06-26</t>
        </is>
      </c>
      <c r="X1173" t="inlineStr">
        <is>
          <t>1991-06-26</t>
        </is>
      </c>
      <c r="Y1173" t="n">
        <v>303</v>
      </c>
      <c r="Z1173" t="n">
        <v>289</v>
      </c>
      <c r="AA1173" t="n">
        <v>399</v>
      </c>
      <c r="AB1173" t="n">
        <v>3</v>
      </c>
      <c r="AC1173" t="n">
        <v>4</v>
      </c>
      <c r="AD1173" t="n">
        <v>22</v>
      </c>
      <c r="AE1173" t="n">
        <v>31</v>
      </c>
      <c r="AF1173" t="n">
        <v>9</v>
      </c>
      <c r="AG1173" t="n">
        <v>12</v>
      </c>
      <c r="AH1173" t="n">
        <v>4</v>
      </c>
      <c r="AI1173" t="n">
        <v>7</v>
      </c>
      <c r="AJ1173" t="n">
        <v>13</v>
      </c>
      <c r="AK1173" t="n">
        <v>20</v>
      </c>
      <c r="AL1173" t="n">
        <v>1</v>
      </c>
      <c r="AM1173" t="n">
        <v>2</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HYPERLINK("https://creighton-primo.hosted.exlibrisgroup.com/primo-explore/search?tab=default_tab&amp;search_scope=EVERYTHING&amp;vid=01CRU&amp;lang=en_US&amp;offset=0&amp;query=any,contains,991005112409702656","Catalog Record")</f>
        <v/>
      </c>
      <c r="AT1173">
        <f>HYPERLINK("http://www.worldcat.org/oclc/7459363","WorldCat Record")</f>
        <v/>
      </c>
      <c r="AU1173" t="inlineStr">
        <is>
          <t>415438:eng</t>
        </is>
      </c>
      <c r="AV1173" t="inlineStr">
        <is>
          <t>7459363</t>
        </is>
      </c>
      <c r="AW1173" t="inlineStr">
        <is>
          <t>991005112409702656</t>
        </is>
      </c>
      <c r="AX1173" t="inlineStr">
        <is>
          <t>991005112409702656</t>
        </is>
      </c>
      <c r="AY1173" t="inlineStr">
        <is>
          <t>2255377560002656</t>
        </is>
      </c>
      <c r="AZ1173" t="inlineStr">
        <is>
          <t>BOOK</t>
        </is>
      </c>
      <c r="BB1173" t="inlineStr">
        <is>
          <t>9780195202489</t>
        </is>
      </c>
      <c r="BC1173" t="inlineStr">
        <is>
          <t>32285000659069</t>
        </is>
      </c>
      <c r="BD1173" t="inlineStr">
        <is>
          <t>893230221</t>
        </is>
      </c>
    </row>
    <row r="1174">
      <c r="A1174" t="inlineStr">
        <is>
          <t>No</t>
        </is>
      </c>
      <c r="B1174" t="inlineStr">
        <is>
          <t>BV825.2 .W3</t>
        </is>
      </c>
      <c r="C1174" t="inlineStr">
        <is>
          <t>0                      BV 0825200W  3</t>
        </is>
      </c>
      <c r="D1174" t="inlineStr">
        <is>
          <t>Le Sacrifice dans les textes eucharistiques des premiers siècles / [par] J. de Watteville.</t>
        </is>
      </c>
      <c r="F1174" t="inlineStr">
        <is>
          <t>No</t>
        </is>
      </c>
      <c r="G1174" t="inlineStr">
        <is>
          <t>1</t>
        </is>
      </c>
      <c r="H1174" t="inlineStr">
        <is>
          <t>No</t>
        </is>
      </c>
      <c r="I1174" t="inlineStr">
        <is>
          <t>No</t>
        </is>
      </c>
      <c r="J1174" t="inlineStr">
        <is>
          <t>0</t>
        </is>
      </c>
      <c r="K1174" t="inlineStr">
        <is>
          <t>Watteville, Jean François Noël de.</t>
        </is>
      </c>
      <c r="L1174" t="inlineStr">
        <is>
          <t>Neuchâtel, Paris, Delachaux et Niestlé, 1966.</t>
        </is>
      </c>
      <c r="M1174" t="inlineStr">
        <is>
          <t>1966</t>
        </is>
      </c>
      <c r="O1174" t="inlineStr">
        <is>
          <t>fre</t>
        </is>
      </c>
      <c r="P1174" t="inlineStr">
        <is>
          <t xml:space="preserve">sz </t>
        </is>
      </c>
      <c r="Q1174" t="inlineStr">
        <is>
          <t>Bibliothèque théologique</t>
        </is>
      </c>
      <c r="R1174" t="inlineStr">
        <is>
          <t xml:space="preserve">BV </t>
        </is>
      </c>
      <c r="S1174" t="n">
        <v>1</v>
      </c>
      <c r="T1174" t="n">
        <v>1</v>
      </c>
      <c r="U1174" t="inlineStr">
        <is>
          <t>1992-07-10</t>
        </is>
      </c>
      <c r="V1174" t="inlineStr">
        <is>
          <t>1992-07-10</t>
        </is>
      </c>
      <c r="W1174" t="inlineStr">
        <is>
          <t>1992-01-27</t>
        </is>
      </c>
      <c r="X1174" t="inlineStr">
        <is>
          <t>1992-01-27</t>
        </is>
      </c>
      <c r="Y1174" t="n">
        <v>95</v>
      </c>
      <c r="Z1174" t="n">
        <v>70</v>
      </c>
      <c r="AA1174" t="n">
        <v>71</v>
      </c>
      <c r="AB1174" t="n">
        <v>1</v>
      </c>
      <c r="AC1174" t="n">
        <v>1</v>
      </c>
      <c r="AD1174" t="n">
        <v>10</v>
      </c>
      <c r="AE1174" t="n">
        <v>10</v>
      </c>
      <c r="AF1174" t="n">
        <v>1</v>
      </c>
      <c r="AG1174" t="n">
        <v>1</v>
      </c>
      <c r="AH1174" t="n">
        <v>2</v>
      </c>
      <c r="AI1174" t="n">
        <v>2</v>
      </c>
      <c r="AJ1174" t="n">
        <v>9</v>
      </c>
      <c r="AK1174" t="n">
        <v>9</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HYPERLINK("https://creighton-primo.hosted.exlibrisgroup.com/primo-explore/search?tab=default_tab&amp;search_scope=EVERYTHING&amp;vid=01CRU&amp;lang=en_US&amp;offset=0&amp;query=any,contains,991004996029702656","Catalog Record")</f>
        <v/>
      </c>
      <c r="AT1174">
        <f>HYPERLINK("http://www.worldcat.org/oclc/6517791","WorldCat Record")</f>
        <v/>
      </c>
      <c r="AU1174" t="inlineStr">
        <is>
          <t>377298065:fre</t>
        </is>
      </c>
      <c r="AV1174" t="inlineStr">
        <is>
          <t>6517791</t>
        </is>
      </c>
      <c r="AW1174" t="inlineStr">
        <is>
          <t>991004996029702656</t>
        </is>
      </c>
      <c r="AX1174" t="inlineStr">
        <is>
          <t>991004996029702656</t>
        </is>
      </c>
      <c r="AY1174" t="inlineStr">
        <is>
          <t>2272005420002656</t>
        </is>
      </c>
      <c r="AZ1174" t="inlineStr">
        <is>
          <t>BOOK</t>
        </is>
      </c>
      <c r="BC1174" t="inlineStr">
        <is>
          <t>32285000925593</t>
        </is>
      </c>
      <c r="BD1174" t="inlineStr">
        <is>
          <t>893254307</t>
        </is>
      </c>
    </row>
    <row r="1175">
      <c r="A1175" t="inlineStr">
        <is>
          <t>No</t>
        </is>
      </c>
      <c r="B1175" t="inlineStr">
        <is>
          <t>BV825.5 .P7 1980</t>
        </is>
      </c>
      <c r="C1175" t="inlineStr">
        <is>
          <t>0                      BV 0825500P  7           1980</t>
        </is>
      </c>
      <c r="D1175" t="inlineStr">
        <is>
          <t>Prayers of the Eucharist : early and reformed texts / translated and edited by R. C. D. Jasper and G. J. Cuming.</t>
        </is>
      </c>
      <c r="F1175" t="inlineStr">
        <is>
          <t>No</t>
        </is>
      </c>
      <c r="G1175" t="inlineStr">
        <is>
          <t>1</t>
        </is>
      </c>
      <c r="H1175" t="inlineStr">
        <is>
          <t>No</t>
        </is>
      </c>
      <c r="I1175" t="inlineStr">
        <is>
          <t>No</t>
        </is>
      </c>
      <c r="J1175" t="inlineStr">
        <is>
          <t>0</t>
        </is>
      </c>
      <c r="L1175" t="inlineStr">
        <is>
          <t>New York : Oxford University Press, 1980.</t>
        </is>
      </c>
      <c r="M1175" t="inlineStr">
        <is>
          <t>1980</t>
        </is>
      </c>
      <c r="N1175" t="inlineStr">
        <is>
          <t>2d ed.</t>
        </is>
      </c>
      <c r="O1175" t="inlineStr">
        <is>
          <t>eng</t>
        </is>
      </c>
      <c r="P1175" t="inlineStr">
        <is>
          <t>nyu</t>
        </is>
      </c>
      <c r="R1175" t="inlineStr">
        <is>
          <t xml:space="preserve">BV </t>
        </is>
      </c>
      <c r="S1175" t="n">
        <v>7</v>
      </c>
      <c r="T1175" t="n">
        <v>7</v>
      </c>
      <c r="U1175" t="inlineStr">
        <is>
          <t>2005-08-26</t>
        </is>
      </c>
      <c r="V1175" t="inlineStr">
        <is>
          <t>2005-08-26</t>
        </is>
      </c>
      <c r="W1175" t="inlineStr">
        <is>
          <t>1990-04-04</t>
        </is>
      </c>
      <c r="X1175" t="inlineStr">
        <is>
          <t>1990-04-04</t>
        </is>
      </c>
      <c r="Y1175" t="n">
        <v>240</v>
      </c>
      <c r="Z1175" t="n">
        <v>212</v>
      </c>
      <c r="AA1175" t="n">
        <v>214</v>
      </c>
      <c r="AB1175" t="n">
        <v>1</v>
      </c>
      <c r="AC1175" t="n">
        <v>1</v>
      </c>
      <c r="AD1175" t="n">
        <v>18</v>
      </c>
      <c r="AE1175" t="n">
        <v>18</v>
      </c>
      <c r="AF1175" t="n">
        <v>7</v>
      </c>
      <c r="AG1175" t="n">
        <v>7</v>
      </c>
      <c r="AH1175" t="n">
        <v>5</v>
      </c>
      <c r="AI1175" t="n">
        <v>5</v>
      </c>
      <c r="AJ1175" t="n">
        <v>13</v>
      </c>
      <c r="AK1175" t="n">
        <v>13</v>
      </c>
      <c r="AL1175" t="n">
        <v>0</v>
      </c>
      <c r="AM1175" t="n">
        <v>0</v>
      </c>
      <c r="AN1175" t="n">
        <v>0</v>
      </c>
      <c r="AO1175" t="n">
        <v>0</v>
      </c>
      <c r="AP1175" t="inlineStr">
        <is>
          <t>No</t>
        </is>
      </c>
      <c r="AQ1175" t="inlineStr">
        <is>
          <t>Yes</t>
        </is>
      </c>
      <c r="AR1175">
        <f>HYPERLINK("http://catalog.hathitrust.org/Record/000686630","HathiTrust Record")</f>
        <v/>
      </c>
      <c r="AS1175">
        <f>HYPERLINK("https://creighton-primo.hosted.exlibrisgroup.com/primo-explore/search?tab=default_tab&amp;search_scope=EVERYTHING&amp;vid=01CRU&amp;lang=en_US&amp;offset=0&amp;query=any,contains,991004845639702656","Catalog Record")</f>
        <v/>
      </c>
      <c r="AT1175">
        <f>HYPERLINK("http://www.worldcat.org/oclc/5564256","WorldCat Record")</f>
        <v/>
      </c>
      <c r="AU1175" t="inlineStr">
        <is>
          <t>9093825159:eng</t>
        </is>
      </c>
      <c r="AV1175" t="inlineStr">
        <is>
          <t>5564256</t>
        </is>
      </c>
      <c r="AW1175" t="inlineStr">
        <is>
          <t>991004845639702656</t>
        </is>
      </c>
      <c r="AX1175" t="inlineStr">
        <is>
          <t>991004845639702656</t>
        </is>
      </c>
      <c r="AY1175" t="inlineStr">
        <is>
          <t>2266474300002656</t>
        </is>
      </c>
      <c r="AZ1175" t="inlineStr">
        <is>
          <t>BOOK</t>
        </is>
      </c>
      <c r="BB1175" t="inlineStr">
        <is>
          <t>9780195201406</t>
        </is>
      </c>
      <c r="BC1175" t="inlineStr">
        <is>
          <t>32285000111442</t>
        </is>
      </c>
      <c r="BD1175" t="inlineStr">
        <is>
          <t>893319705</t>
        </is>
      </c>
    </row>
    <row r="1176">
      <c r="A1176" t="inlineStr">
        <is>
          <t>No</t>
        </is>
      </c>
      <c r="B1176" t="inlineStr">
        <is>
          <t>BV825.5 .S23 1981</t>
        </is>
      </c>
      <c r="C1176" t="inlineStr">
        <is>
          <t>0                      BV 0825500S  23          1981</t>
        </is>
      </c>
      <c r="D1176" t="inlineStr">
        <is>
          <t>The Sacrifice of praise : studies on the themes of thanksgiving and redemption in the central prayers of the eucharistic and baptismal liturgies : in honour of Arthur Hubert Couratin / edited by Bryan D. Spinks ; [writings by] M. Melrose ... [et al.].</t>
        </is>
      </c>
      <c r="F1176" t="inlineStr">
        <is>
          <t>No</t>
        </is>
      </c>
      <c r="G1176" t="inlineStr">
        <is>
          <t>1</t>
        </is>
      </c>
      <c r="H1176" t="inlineStr">
        <is>
          <t>No</t>
        </is>
      </c>
      <c r="I1176" t="inlineStr">
        <is>
          <t>No</t>
        </is>
      </c>
      <c r="J1176" t="inlineStr">
        <is>
          <t>0</t>
        </is>
      </c>
      <c r="L1176" t="inlineStr">
        <is>
          <t>Roma : C.L.V.--Edizioni liturgiche, 1981.</t>
        </is>
      </c>
      <c r="M1176" t="inlineStr">
        <is>
          <t>1981</t>
        </is>
      </c>
      <c r="O1176" t="inlineStr">
        <is>
          <t>eng</t>
        </is>
      </c>
      <c r="P1176" t="inlineStr">
        <is>
          <t xml:space="preserve">it </t>
        </is>
      </c>
      <c r="Q1176" t="inlineStr">
        <is>
          <t>Bibliotheca "Ephemerides liturgicae." Subsidia ; 19</t>
        </is>
      </c>
      <c r="R1176" t="inlineStr">
        <is>
          <t xml:space="preserve">BV </t>
        </is>
      </c>
      <c r="S1176" t="n">
        <v>3</v>
      </c>
      <c r="T1176" t="n">
        <v>3</v>
      </c>
      <c r="U1176" t="inlineStr">
        <is>
          <t>1996-04-04</t>
        </is>
      </c>
      <c r="V1176" t="inlineStr">
        <is>
          <t>1996-04-04</t>
        </is>
      </c>
      <c r="W1176" t="inlineStr">
        <is>
          <t>1992-01-27</t>
        </is>
      </c>
      <c r="X1176" t="inlineStr">
        <is>
          <t>1992-01-27</t>
        </is>
      </c>
      <c r="Y1176" t="n">
        <v>110</v>
      </c>
      <c r="Z1176" t="n">
        <v>74</v>
      </c>
      <c r="AA1176" t="n">
        <v>75</v>
      </c>
      <c r="AB1176" t="n">
        <v>1</v>
      </c>
      <c r="AC1176" t="n">
        <v>1</v>
      </c>
      <c r="AD1176" t="n">
        <v>8</v>
      </c>
      <c r="AE1176" t="n">
        <v>8</v>
      </c>
      <c r="AF1176" t="n">
        <v>1</v>
      </c>
      <c r="AG1176" t="n">
        <v>1</v>
      </c>
      <c r="AH1176" t="n">
        <v>3</v>
      </c>
      <c r="AI1176" t="n">
        <v>3</v>
      </c>
      <c r="AJ1176" t="n">
        <v>5</v>
      </c>
      <c r="AK1176" t="n">
        <v>5</v>
      </c>
      <c r="AL1176" t="n">
        <v>0</v>
      </c>
      <c r="AM1176" t="n">
        <v>0</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HYPERLINK("https://creighton-primo.hosted.exlibrisgroup.com/primo-explore/search?tab=default_tab&amp;search_scope=EVERYTHING&amp;vid=01CRU&amp;lang=en_US&amp;offset=0&amp;query=any,contains,991005188859702656","Catalog Record")</f>
        <v/>
      </c>
      <c r="AT1176">
        <f>HYPERLINK("http://www.worldcat.org/oclc/7985409","WorldCat Record")</f>
        <v/>
      </c>
      <c r="AU1176" t="inlineStr">
        <is>
          <t>807142300:eng</t>
        </is>
      </c>
      <c r="AV1176" t="inlineStr">
        <is>
          <t>7985409</t>
        </is>
      </c>
      <c r="AW1176" t="inlineStr">
        <is>
          <t>991005188859702656</t>
        </is>
      </c>
      <c r="AX1176" t="inlineStr">
        <is>
          <t>991005188859702656</t>
        </is>
      </c>
      <c r="AY1176" t="inlineStr">
        <is>
          <t>2256190490002656</t>
        </is>
      </c>
      <c r="AZ1176" t="inlineStr">
        <is>
          <t>BOOK</t>
        </is>
      </c>
      <c r="BC1176" t="inlineStr">
        <is>
          <t>32285000925627</t>
        </is>
      </c>
      <c r="BD1176" t="inlineStr">
        <is>
          <t>893776996</t>
        </is>
      </c>
    </row>
    <row r="1177">
      <c r="A1177" t="inlineStr">
        <is>
          <t>No</t>
        </is>
      </c>
      <c r="B1177" t="inlineStr">
        <is>
          <t>BV825.54 .M3913 1995</t>
        </is>
      </c>
      <c r="C1177" t="inlineStr">
        <is>
          <t>0                      BV 0825540M  3913        1995</t>
        </is>
      </c>
      <c r="D1177" t="inlineStr">
        <is>
          <t>The origins of the Eucharistic prayer / Enrico Mazza ; translated by Ronald E. Lane.</t>
        </is>
      </c>
      <c r="F1177" t="inlineStr">
        <is>
          <t>No</t>
        </is>
      </c>
      <c r="G1177" t="inlineStr">
        <is>
          <t>1</t>
        </is>
      </c>
      <c r="H1177" t="inlineStr">
        <is>
          <t>No</t>
        </is>
      </c>
      <c r="I1177" t="inlineStr">
        <is>
          <t>No</t>
        </is>
      </c>
      <c r="J1177" t="inlineStr">
        <is>
          <t>0</t>
        </is>
      </c>
      <c r="K1177" t="inlineStr">
        <is>
          <t>Mazza, Enrico.</t>
        </is>
      </c>
      <c r="L1177" t="inlineStr">
        <is>
          <t>Collegeville, Minn. : Liturgical Press, c1995</t>
        </is>
      </c>
      <c r="M1177" t="inlineStr">
        <is>
          <t>1995</t>
        </is>
      </c>
      <c r="O1177" t="inlineStr">
        <is>
          <t>eng</t>
        </is>
      </c>
      <c r="P1177" t="inlineStr">
        <is>
          <t>mnu</t>
        </is>
      </c>
      <c r="R1177" t="inlineStr">
        <is>
          <t xml:space="preserve">BV </t>
        </is>
      </c>
      <c r="S1177" t="n">
        <v>3</v>
      </c>
      <c r="T1177" t="n">
        <v>3</v>
      </c>
      <c r="U1177" t="inlineStr">
        <is>
          <t>1997-09-11</t>
        </is>
      </c>
      <c r="V1177" t="inlineStr">
        <is>
          <t>1997-09-11</t>
        </is>
      </c>
      <c r="W1177" t="inlineStr">
        <is>
          <t>1997-02-12</t>
        </is>
      </c>
      <c r="X1177" t="inlineStr">
        <is>
          <t>1997-02-12</t>
        </is>
      </c>
      <c r="Y1177" t="n">
        <v>229</v>
      </c>
      <c r="Z1177" t="n">
        <v>165</v>
      </c>
      <c r="AA1177" t="n">
        <v>165</v>
      </c>
      <c r="AB1177" t="n">
        <v>2</v>
      </c>
      <c r="AC1177" t="n">
        <v>2</v>
      </c>
      <c r="AD1177" t="n">
        <v>21</v>
      </c>
      <c r="AE1177" t="n">
        <v>21</v>
      </c>
      <c r="AF1177" t="n">
        <v>9</v>
      </c>
      <c r="AG1177" t="n">
        <v>9</v>
      </c>
      <c r="AH1177" t="n">
        <v>5</v>
      </c>
      <c r="AI1177" t="n">
        <v>5</v>
      </c>
      <c r="AJ1177" t="n">
        <v>13</v>
      </c>
      <c r="AK1177" t="n">
        <v>13</v>
      </c>
      <c r="AL1177" t="n">
        <v>0</v>
      </c>
      <c r="AM1177" t="n">
        <v>0</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HYPERLINK("https://creighton-primo.hosted.exlibrisgroup.com/primo-explore/search?tab=default_tab&amp;search_scope=EVERYTHING&amp;vid=01CRU&amp;lang=en_US&amp;offset=0&amp;query=any,contains,991002456499702656","Catalog Record")</f>
        <v/>
      </c>
      <c r="AT1177">
        <f>HYPERLINK("http://www.worldcat.org/oclc/32015546","WorldCat Record")</f>
        <v/>
      </c>
      <c r="AU1177" t="inlineStr">
        <is>
          <t>33939056:eng</t>
        </is>
      </c>
      <c r="AV1177" t="inlineStr">
        <is>
          <t>32015546</t>
        </is>
      </c>
      <c r="AW1177" t="inlineStr">
        <is>
          <t>991002456499702656</t>
        </is>
      </c>
      <c r="AX1177" t="inlineStr">
        <is>
          <t>991002456499702656</t>
        </is>
      </c>
      <c r="AY1177" t="inlineStr">
        <is>
          <t>2254834080002656</t>
        </is>
      </c>
      <c r="AZ1177" t="inlineStr">
        <is>
          <t>BOOK</t>
        </is>
      </c>
      <c r="BB1177" t="inlineStr">
        <is>
          <t>9780814661192</t>
        </is>
      </c>
      <c r="BC1177" t="inlineStr">
        <is>
          <t>32285002430543</t>
        </is>
      </c>
      <c r="BD1177" t="inlineStr">
        <is>
          <t>893716478</t>
        </is>
      </c>
    </row>
    <row r="1178">
      <c r="A1178" t="inlineStr">
        <is>
          <t>No</t>
        </is>
      </c>
      <c r="B1178" t="inlineStr">
        <is>
          <t>BV835 .B65 2001</t>
        </is>
      </c>
      <c r="C1178" t="inlineStr">
        <is>
          <t>0                      BV 0835000B  65          2001</t>
        </is>
      </c>
      <c r="D1178" t="inlineStr">
        <is>
          <t>The book of marriage : the wisest answers to the toughest questions / edited by Dana Mack &amp; David Blankenhorn.</t>
        </is>
      </c>
      <c r="F1178" t="inlineStr">
        <is>
          <t>No</t>
        </is>
      </c>
      <c r="G1178" t="inlineStr">
        <is>
          <t>1</t>
        </is>
      </c>
      <c r="H1178" t="inlineStr">
        <is>
          <t>No</t>
        </is>
      </c>
      <c r="I1178" t="inlineStr">
        <is>
          <t>No</t>
        </is>
      </c>
      <c r="J1178" t="inlineStr">
        <is>
          <t>0</t>
        </is>
      </c>
      <c r="L1178" t="inlineStr">
        <is>
          <t>Grand Rapids, Mich. : William B. Eerdmans Pub., c2001.</t>
        </is>
      </c>
      <c r="M1178" t="inlineStr">
        <is>
          <t>2001</t>
        </is>
      </c>
      <c r="O1178" t="inlineStr">
        <is>
          <t>eng</t>
        </is>
      </c>
      <c r="P1178" t="inlineStr">
        <is>
          <t>miu</t>
        </is>
      </c>
      <c r="Q1178" t="inlineStr">
        <is>
          <t>Religion, marriage, and family</t>
        </is>
      </c>
      <c r="R1178" t="inlineStr">
        <is>
          <t xml:space="preserve">BV </t>
        </is>
      </c>
      <c r="S1178" t="n">
        <v>4</v>
      </c>
      <c r="T1178" t="n">
        <v>4</v>
      </c>
      <c r="U1178" t="inlineStr">
        <is>
          <t>2009-05-04</t>
        </is>
      </c>
      <c r="V1178" t="inlineStr">
        <is>
          <t>2009-05-04</t>
        </is>
      </c>
      <c r="W1178" t="inlineStr">
        <is>
          <t>2001-10-13</t>
        </is>
      </c>
      <c r="X1178" t="inlineStr">
        <is>
          <t>2001-10-13</t>
        </is>
      </c>
      <c r="Y1178" t="n">
        <v>315</v>
      </c>
      <c r="Z1178" t="n">
        <v>277</v>
      </c>
      <c r="AA1178" t="n">
        <v>277</v>
      </c>
      <c r="AB1178" t="n">
        <v>4</v>
      </c>
      <c r="AC1178" t="n">
        <v>4</v>
      </c>
      <c r="AD1178" t="n">
        <v>12</v>
      </c>
      <c r="AE1178" t="n">
        <v>12</v>
      </c>
      <c r="AF1178" t="n">
        <v>6</v>
      </c>
      <c r="AG1178" t="n">
        <v>6</v>
      </c>
      <c r="AH1178" t="n">
        <v>2</v>
      </c>
      <c r="AI1178" t="n">
        <v>2</v>
      </c>
      <c r="AJ1178" t="n">
        <v>6</v>
      </c>
      <c r="AK1178" t="n">
        <v>6</v>
      </c>
      <c r="AL1178" t="n">
        <v>2</v>
      </c>
      <c r="AM1178" t="n">
        <v>2</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HYPERLINK("https://creighton-primo.hosted.exlibrisgroup.com/primo-explore/search?tab=default_tab&amp;search_scope=EVERYTHING&amp;vid=01CRU&amp;lang=en_US&amp;offset=0&amp;query=any,contains,991003620149702656","Catalog Record")</f>
        <v/>
      </c>
      <c r="AT1178">
        <f>HYPERLINK("http://www.worldcat.org/oclc/45284665","WorldCat Record")</f>
        <v/>
      </c>
      <c r="AU1178" t="inlineStr">
        <is>
          <t>836948601:eng</t>
        </is>
      </c>
      <c r="AV1178" t="inlineStr">
        <is>
          <t>45284665</t>
        </is>
      </c>
      <c r="AW1178" t="inlineStr">
        <is>
          <t>991003620149702656</t>
        </is>
      </c>
      <c r="AX1178" t="inlineStr">
        <is>
          <t>991003620149702656</t>
        </is>
      </c>
      <c r="AY1178" t="inlineStr">
        <is>
          <t>2272686670002656</t>
        </is>
      </c>
      <c r="AZ1178" t="inlineStr">
        <is>
          <t>BOOK</t>
        </is>
      </c>
      <c r="BB1178" t="inlineStr">
        <is>
          <t>9780802838964</t>
        </is>
      </c>
      <c r="BC1178" t="inlineStr">
        <is>
          <t>32285004396007</t>
        </is>
      </c>
      <c r="BD1178" t="inlineStr">
        <is>
          <t>893416583</t>
        </is>
      </c>
    </row>
    <row r="1179">
      <c r="A1179" t="inlineStr">
        <is>
          <t>No</t>
        </is>
      </c>
      <c r="B1179" t="inlineStr">
        <is>
          <t>BV835 .D65 1982</t>
        </is>
      </c>
      <c r="C1179" t="inlineStr">
        <is>
          <t>0                      BV 0835000D  65          1982</t>
        </is>
      </c>
      <c r="D1179" t="inlineStr">
        <is>
          <t>Marriage, faith, and love / Jack Dominian.</t>
        </is>
      </c>
      <c r="F1179" t="inlineStr">
        <is>
          <t>No</t>
        </is>
      </c>
      <c r="G1179" t="inlineStr">
        <is>
          <t>1</t>
        </is>
      </c>
      <c r="H1179" t="inlineStr">
        <is>
          <t>No</t>
        </is>
      </c>
      <c r="I1179" t="inlineStr">
        <is>
          <t>No</t>
        </is>
      </c>
      <c r="J1179" t="inlineStr">
        <is>
          <t>0</t>
        </is>
      </c>
      <c r="K1179" t="inlineStr">
        <is>
          <t>Dominian, Jack, 1929-2014.</t>
        </is>
      </c>
      <c r="L1179" t="inlineStr">
        <is>
          <t>New York : Crossroad, 1982, c1981.</t>
        </is>
      </c>
      <c r="M1179" t="inlineStr">
        <is>
          <t>1982</t>
        </is>
      </c>
      <c r="O1179" t="inlineStr">
        <is>
          <t>eng</t>
        </is>
      </c>
      <c r="P1179" t="inlineStr">
        <is>
          <t>nyu</t>
        </is>
      </c>
      <c r="R1179" t="inlineStr">
        <is>
          <t xml:space="preserve">BV </t>
        </is>
      </c>
      <c r="S1179" t="n">
        <v>8</v>
      </c>
      <c r="T1179" t="n">
        <v>8</v>
      </c>
      <c r="U1179" t="inlineStr">
        <is>
          <t>2009-10-05</t>
        </is>
      </c>
      <c r="V1179" t="inlineStr">
        <is>
          <t>2009-10-05</t>
        </is>
      </c>
      <c r="W1179" t="inlineStr">
        <is>
          <t>2004-04-26</t>
        </is>
      </c>
      <c r="X1179" t="inlineStr">
        <is>
          <t>2004-04-26</t>
        </is>
      </c>
      <c r="Y1179" t="n">
        <v>162</v>
      </c>
      <c r="Z1179" t="n">
        <v>150</v>
      </c>
      <c r="AA1179" t="n">
        <v>182</v>
      </c>
      <c r="AB1179" t="n">
        <v>1</v>
      </c>
      <c r="AC1179" t="n">
        <v>2</v>
      </c>
      <c r="AD1179" t="n">
        <v>15</v>
      </c>
      <c r="AE1179" t="n">
        <v>18</v>
      </c>
      <c r="AF1179" t="n">
        <v>1</v>
      </c>
      <c r="AG1179" t="n">
        <v>1</v>
      </c>
      <c r="AH1179" t="n">
        <v>7</v>
      </c>
      <c r="AI1179" t="n">
        <v>8</v>
      </c>
      <c r="AJ1179" t="n">
        <v>12</v>
      </c>
      <c r="AK1179" t="n">
        <v>13</v>
      </c>
      <c r="AL1179" t="n">
        <v>0</v>
      </c>
      <c r="AM1179" t="n">
        <v>1</v>
      </c>
      <c r="AN1179" t="n">
        <v>0</v>
      </c>
      <c r="AO1179" t="n">
        <v>0</v>
      </c>
      <c r="AP1179" t="inlineStr">
        <is>
          <t>No</t>
        </is>
      </c>
      <c r="AQ1179" t="inlineStr">
        <is>
          <t>Yes</t>
        </is>
      </c>
      <c r="AR1179">
        <f>HYPERLINK("http://catalog.hathitrust.org/Record/009801555","HathiTrust Record")</f>
        <v/>
      </c>
      <c r="AS1179">
        <f>HYPERLINK("https://creighton-primo.hosted.exlibrisgroup.com/primo-explore/search?tab=default_tab&amp;search_scope=EVERYTHING&amp;vid=01CRU&amp;lang=en_US&amp;offset=0&amp;query=any,contains,991004282149702656","Catalog Record")</f>
        <v/>
      </c>
      <c r="AT1179">
        <f>HYPERLINK("http://www.worldcat.org/oclc/8241292","WorldCat Record")</f>
        <v/>
      </c>
      <c r="AU1179" t="inlineStr">
        <is>
          <t>420632:eng</t>
        </is>
      </c>
      <c r="AV1179" t="inlineStr">
        <is>
          <t>8241292</t>
        </is>
      </c>
      <c r="AW1179" t="inlineStr">
        <is>
          <t>991004282149702656</t>
        </is>
      </c>
      <c r="AX1179" t="inlineStr">
        <is>
          <t>991004282149702656</t>
        </is>
      </c>
      <c r="AY1179" t="inlineStr">
        <is>
          <t>2265741170002656</t>
        </is>
      </c>
      <c r="AZ1179" t="inlineStr">
        <is>
          <t>BOOK</t>
        </is>
      </c>
      <c r="BB1179" t="inlineStr">
        <is>
          <t>9780824504250</t>
        </is>
      </c>
      <c r="BC1179" t="inlineStr">
        <is>
          <t>32285004902499</t>
        </is>
      </c>
      <c r="BD1179" t="inlineStr">
        <is>
          <t>893869536</t>
        </is>
      </c>
    </row>
    <row r="1180">
      <c r="A1180" t="inlineStr">
        <is>
          <t>No</t>
        </is>
      </c>
      <c r="B1180" t="inlineStr">
        <is>
          <t>BV840 .F38 1988</t>
        </is>
      </c>
      <c r="C1180" t="inlineStr">
        <is>
          <t>0                      BV 0840000F  38          1988</t>
        </is>
      </c>
      <c r="D1180" t="inlineStr">
        <is>
          <t>The order of penitents : historical roots and pastoral future / Joseph A. Favazza ; foreword by James Lopresti.</t>
        </is>
      </c>
      <c r="F1180" t="inlineStr">
        <is>
          <t>No</t>
        </is>
      </c>
      <c r="G1180" t="inlineStr">
        <is>
          <t>1</t>
        </is>
      </c>
      <c r="H1180" t="inlineStr">
        <is>
          <t>No</t>
        </is>
      </c>
      <c r="I1180" t="inlineStr">
        <is>
          <t>No</t>
        </is>
      </c>
      <c r="J1180" t="inlineStr">
        <is>
          <t>0</t>
        </is>
      </c>
      <c r="K1180" t="inlineStr">
        <is>
          <t>Favazza, Joseph A., 1954-</t>
        </is>
      </c>
      <c r="L1180" t="inlineStr">
        <is>
          <t>Collegeville, MN : Liturgical Press, 1988.</t>
        </is>
      </c>
      <c r="M1180" t="inlineStr">
        <is>
          <t>1988</t>
        </is>
      </c>
      <c r="O1180" t="inlineStr">
        <is>
          <t>eng</t>
        </is>
      </c>
      <c r="P1180" t="inlineStr">
        <is>
          <t>mnu</t>
        </is>
      </c>
      <c r="R1180" t="inlineStr">
        <is>
          <t xml:space="preserve">BV </t>
        </is>
      </c>
      <c r="S1180" t="n">
        <v>1</v>
      </c>
      <c r="T1180" t="n">
        <v>1</v>
      </c>
      <c r="U1180" t="inlineStr">
        <is>
          <t>2002-02-23</t>
        </is>
      </c>
      <c r="V1180" t="inlineStr">
        <is>
          <t>2002-02-23</t>
        </is>
      </c>
      <c r="W1180" t="inlineStr">
        <is>
          <t>1992-01-27</t>
        </is>
      </c>
      <c r="X1180" t="inlineStr">
        <is>
          <t>1992-01-27</t>
        </is>
      </c>
      <c r="Y1180" t="n">
        <v>182</v>
      </c>
      <c r="Z1180" t="n">
        <v>146</v>
      </c>
      <c r="AA1180" t="n">
        <v>146</v>
      </c>
      <c r="AB1180" t="n">
        <v>1</v>
      </c>
      <c r="AC1180" t="n">
        <v>1</v>
      </c>
      <c r="AD1180" t="n">
        <v>16</v>
      </c>
      <c r="AE1180" t="n">
        <v>16</v>
      </c>
      <c r="AF1180" t="n">
        <v>3</v>
      </c>
      <c r="AG1180" t="n">
        <v>3</v>
      </c>
      <c r="AH1180" t="n">
        <v>3</v>
      </c>
      <c r="AI1180" t="n">
        <v>3</v>
      </c>
      <c r="AJ1180" t="n">
        <v>12</v>
      </c>
      <c r="AK1180" t="n">
        <v>12</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HYPERLINK("https://creighton-primo.hosted.exlibrisgroup.com/primo-explore/search?tab=default_tab&amp;search_scope=EVERYTHING&amp;vid=01CRU&amp;lang=en_US&amp;offset=0&amp;query=any,contains,991001267119702656","Catalog Record")</f>
        <v/>
      </c>
      <c r="AT1180">
        <f>HYPERLINK("http://www.worldcat.org/oclc/17807441","WorldCat Record")</f>
        <v/>
      </c>
      <c r="AU1180" t="inlineStr">
        <is>
          <t>889714542:eng</t>
        </is>
      </c>
      <c r="AV1180" t="inlineStr">
        <is>
          <t>17807441</t>
        </is>
      </c>
      <c r="AW1180" t="inlineStr">
        <is>
          <t>991001267119702656</t>
        </is>
      </c>
      <c r="AX1180" t="inlineStr">
        <is>
          <t>991001267119702656</t>
        </is>
      </c>
      <c r="AY1180" t="inlineStr">
        <is>
          <t>2266952870002656</t>
        </is>
      </c>
      <c r="AZ1180" t="inlineStr">
        <is>
          <t>BOOK</t>
        </is>
      </c>
      <c r="BB1180" t="inlineStr">
        <is>
          <t>9780814615423</t>
        </is>
      </c>
      <c r="BC1180" t="inlineStr">
        <is>
          <t>32285000925700</t>
        </is>
      </c>
      <c r="BD1180" t="inlineStr">
        <is>
          <t>893503256</t>
        </is>
      </c>
    </row>
    <row r="1181">
      <c r="A1181" t="inlineStr">
        <is>
          <t>No</t>
        </is>
      </c>
      <c r="B1181" t="inlineStr">
        <is>
          <t>BV840 .F58 1988</t>
        </is>
      </c>
      <c r="C1181" t="inlineStr">
        <is>
          <t>0                      BV 0840000F  58          1988</t>
        </is>
      </c>
      <c r="D1181" t="inlineStr">
        <is>
          <t>Conversion through penance in the Italian church of the fourth and fifth centuries : new approaches to the experience of conversion from sin / Allan Fitzgerald.</t>
        </is>
      </c>
      <c r="F1181" t="inlineStr">
        <is>
          <t>No</t>
        </is>
      </c>
      <c r="G1181" t="inlineStr">
        <is>
          <t>1</t>
        </is>
      </c>
      <c r="H1181" t="inlineStr">
        <is>
          <t>No</t>
        </is>
      </c>
      <c r="I1181" t="inlineStr">
        <is>
          <t>No</t>
        </is>
      </c>
      <c r="J1181" t="inlineStr">
        <is>
          <t>0</t>
        </is>
      </c>
      <c r="K1181" t="inlineStr">
        <is>
          <t>Fitzgerald, Allan.</t>
        </is>
      </c>
      <c r="L1181" t="inlineStr">
        <is>
          <t>Lewiston, N.Y. : E. Mellen Press, c1988.</t>
        </is>
      </c>
      <c r="M1181" t="inlineStr">
        <is>
          <t>1988</t>
        </is>
      </c>
      <c r="O1181" t="inlineStr">
        <is>
          <t>eng</t>
        </is>
      </c>
      <c r="P1181" t="inlineStr">
        <is>
          <t>nyu</t>
        </is>
      </c>
      <c r="Q1181" t="inlineStr">
        <is>
          <t>Studies in the Bible and early Christianity ; v. 15</t>
        </is>
      </c>
      <c r="R1181" t="inlineStr">
        <is>
          <t xml:space="preserve">BV </t>
        </is>
      </c>
      <c r="S1181" t="n">
        <v>2</v>
      </c>
      <c r="T1181" t="n">
        <v>2</v>
      </c>
      <c r="U1181" t="inlineStr">
        <is>
          <t>1992-04-09</t>
        </is>
      </c>
      <c r="V1181" t="inlineStr">
        <is>
          <t>1992-04-09</t>
        </is>
      </c>
      <c r="W1181" t="inlineStr">
        <is>
          <t>1991-01-28</t>
        </is>
      </c>
      <c r="X1181" t="inlineStr">
        <is>
          <t>1991-01-28</t>
        </is>
      </c>
      <c r="Y1181" t="n">
        <v>194</v>
      </c>
      <c r="Z1181" t="n">
        <v>152</v>
      </c>
      <c r="AA1181" t="n">
        <v>154</v>
      </c>
      <c r="AB1181" t="n">
        <v>2</v>
      </c>
      <c r="AC1181" t="n">
        <v>2</v>
      </c>
      <c r="AD1181" t="n">
        <v>13</v>
      </c>
      <c r="AE1181" t="n">
        <v>13</v>
      </c>
      <c r="AF1181" t="n">
        <v>2</v>
      </c>
      <c r="AG1181" t="n">
        <v>2</v>
      </c>
      <c r="AH1181" t="n">
        <v>3</v>
      </c>
      <c r="AI1181" t="n">
        <v>3</v>
      </c>
      <c r="AJ1181" t="n">
        <v>8</v>
      </c>
      <c r="AK1181" t="n">
        <v>8</v>
      </c>
      <c r="AL1181" t="n">
        <v>1</v>
      </c>
      <c r="AM1181" t="n">
        <v>1</v>
      </c>
      <c r="AN1181" t="n">
        <v>0</v>
      </c>
      <c r="AO1181" t="n">
        <v>0</v>
      </c>
      <c r="AP1181" t="inlineStr">
        <is>
          <t>No</t>
        </is>
      </c>
      <c r="AQ1181" t="inlineStr">
        <is>
          <t>Yes</t>
        </is>
      </c>
      <c r="AR1181">
        <f>HYPERLINK("http://catalog.hathitrust.org/Record/001528056","HathiTrust Record")</f>
        <v/>
      </c>
      <c r="AS1181">
        <f>HYPERLINK("https://creighton-primo.hosted.exlibrisgroup.com/primo-explore/search?tab=default_tab&amp;search_scope=EVERYTHING&amp;vid=01CRU&amp;lang=en_US&amp;offset=0&amp;query=any,contains,991001272689702656","Catalog Record")</f>
        <v/>
      </c>
      <c r="AT1181">
        <f>HYPERLINK("http://www.worldcat.org/oclc/17842254","WorldCat Record")</f>
        <v/>
      </c>
      <c r="AU1181" t="inlineStr">
        <is>
          <t>467746616:eng</t>
        </is>
      </c>
      <c r="AV1181" t="inlineStr">
        <is>
          <t>17842254</t>
        </is>
      </c>
      <c r="AW1181" t="inlineStr">
        <is>
          <t>991001272689702656</t>
        </is>
      </c>
      <c r="AX1181" t="inlineStr">
        <is>
          <t>991001272689702656</t>
        </is>
      </c>
      <c r="AY1181" t="inlineStr">
        <is>
          <t>2260560050002656</t>
        </is>
      </c>
      <c r="AZ1181" t="inlineStr">
        <is>
          <t>BOOK</t>
        </is>
      </c>
      <c r="BB1181" t="inlineStr">
        <is>
          <t>9780889466159</t>
        </is>
      </c>
      <c r="BC1181" t="inlineStr">
        <is>
          <t>32285000461771</t>
        </is>
      </c>
      <c r="BD1181" t="inlineStr">
        <is>
          <t>893797443</t>
        </is>
      </c>
    </row>
    <row r="1182">
      <c r="A1182" t="inlineStr">
        <is>
          <t>No</t>
        </is>
      </c>
      <c r="B1182" t="inlineStr">
        <is>
          <t>BV845 .V34 1948</t>
        </is>
      </c>
      <c r="C1182" t="inlineStr">
        <is>
          <t>0                      BV 0845000V  34          1948</t>
        </is>
      </c>
      <c r="D1182" t="inlineStr">
        <is>
          <t>For better for worse : three social sacraments / by Ferdinand Valentine, O.P.</t>
        </is>
      </c>
      <c r="F1182" t="inlineStr">
        <is>
          <t>No</t>
        </is>
      </c>
      <c r="G1182" t="inlineStr">
        <is>
          <t>1</t>
        </is>
      </c>
      <c r="H1182" t="inlineStr">
        <is>
          <t>No</t>
        </is>
      </c>
      <c r="I1182" t="inlineStr">
        <is>
          <t>No</t>
        </is>
      </c>
      <c r="J1182" t="inlineStr">
        <is>
          <t>0</t>
        </is>
      </c>
      <c r="K1182" t="inlineStr">
        <is>
          <t>Valentine, F. C. (Ferdinand Charles), 1851-1909.</t>
        </is>
      </c>
      <c r="L1182" t="inlineStr">
        <is>
          <t>Oxford : Blackfriars [1948]</t>
        </is>
      </c>
      <c r="M1182" t="inlineStr">
        <is>
          <t>1948</t>
        </is>
      </c>
      <c r="O1182" t="inlineStr">
        <is>
          <t>eng</t>
        </is>
      </c>
      <c r="P1182" t="inlineStr">
        <is>
          <t>enk</t>
        </is>
      </c>
      <c r="Q1182" t="inlineStr">
        <is>
          <t>The fourth Theophila correspondence</t>
        </is>
      </c>
      <c r="R1182" t="inlineStr">
        <is>
          <t xml:space="preserve">BV </t>
        </is>
      </c>
      <c r="S1182" t="n">
        <v>3</v>
      </c>
      <c r="T1182" t="n">
        <v>3</v>
      </c>
      <c r="U1182" t="inlineStr">
        <is>
          <t>1995-02-24</t>
        </is>
      </c>
      <c r="V1182" t="inlineStr">
        <is>
          <t>1995-02-24</t>
        </is>
      </c>
      <c r="W1182" t="inlineStr">
        <is>
          <t>1992-06-09</t>
        </is>
      </c>
      <c r="X1182" t="inlineStr">
        <is>
          <t>1992-06-09</t>
        </is>
      </c>
      <c r="Y1182" t="n">
        <v>36</v>
      </c>
      <c r="Z1182" t="n">
        <v>27</v>
      </c>
      <c r="AA1182" t="n">
        <v>29</v>
      </c>
      <c r="AB1182" t="n">
        <v>1</v>
      </c>
      <c r="AC1182" t="n">
        <v>1</v>
      </c>
      <c r="AD1182" t="n">
        <v>9</v>
      </c>
      <c r="AE1182" t="n">
        <v>9</v>
      </c>
      <c r="AF1182" t="n">
        <v>2</v>
      </c>
      <c r="AG1182" t="n">
        <v>2</v>
      </c>
      <c r="AH1182" t="n">
        <v>4</v>
      </c>
      <c r="AI1182" t="n">
        <v>4</v>
      </c>
      <c r="AJ1182" t="n">
        <v>7</v>
      </c>
      <c r="AK1182" t="n">
        <v>7</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HYPERLINK("https://creighton-primo.hosted.exlibrisgroup.com/primo-explore/search?tab=default_tab&amp;search_scope=EVERYTHING&amp;vid=01CRU&amp;lang=en_US&amp;offset=0&amp;query=any,contains,991005019289702656","Catalog Record")</f>
        <v/>
      </c>
      <c r="AT1182">
        <f>HYPERLINK("http://www.worldcat.org/oclc/6646382","WorldCat Record")</f>
        <v/>
      </c>
      <c r="AU1182" t="inlineStr">
        <is>
          <t>193061329:eng</t>
        </is>
      </c>
      <c r="AV1182" t="inlineStr">
        <is>
          <t>6646382</t>
        </is>
      </c>
      <c r="AW1182" t="inlineStr">
        <is>
          <t>991005019289702656</t>
        </is>
      </c>
      <c r="AX1182" t="inlineStr">
        <is>
          <t>991005019289702656</t>
        </is>
      </c>
      <c r="AY1182" t="inlineStr">
        <is>
          <t>2265202440002656</t>
        </is>
      </c>
      <c r="AZ1182" t="inlineStr">
        <is>
          <t>BOOK</t>
        </is>
      </c>
      <c r="BC1182" t="inlineStr">
        <is>
          <t>32285001074557</t>
        </is>
      </c>
      <c r="BD1182" t="inlineStr">
        <is>
          <t>893319895</t>
        </is>
      </c>
    </row>
    <row r="1183">
      <c r="A1183" t="inlineStr">
        <is>
          <t>No</t>
        </is>
      </c>
      <c r="B1183" t="inlineStr">
        <is>
          <t>BV85 .F6413 1939</t>
        </is>
      </c>
      <c r="C1183" t="inlineStr">
        <is>
          <t>0                      BV 0085000F  6413        1939</t>
        </is>
      </c>
      <c r="D1183" t="inlineStr">
        <is>
          <t>Lent and Easter : the church's spring / Hermann Franke ; translated by the Benedictines of St. John's Abbey, Collegeville, Minnesota.</t>
        </is>
      </c>
      <c r="F1183" t="inlineStr">
        <is>
          <t>No</t>
        </is>
      </c>
      <c r="G1183" t="inlineStr">
        <is>
          <t>1</t>
        </is>
      </c>
      <c r="H1183" t="inlineStr">
        <is>
          <t>No</t>
        </is>
      </c>
      <c r="I1183" t="inlineStr">
        <is>
          <t>No</t>
        </is>
      </c>
      <c r="J1183" t="inlineStr">
        <is>
          <t>0</t>
        </is>
      </c>
      <c r="K1183" t="inlineStr">
        <is>
          <t>Franke, Hermann, 1908-</t>
        </is>
      </c>
      <c r="L1183" t="inlineStr">
        <is>
          <t>London : Geo. E.J. Coldwell, 1939.</t>
        </is>
      </c>
      <c r="M1183" t="inlineStr">
        <is>
          <t>1939</t>
        </is>
      </c>
      <c r="O1183" t="inlineStr">
        <is>
          <t>eng</t>
        </is>
      </c>
      <c r="P1183" t="inlineStr">
        <is>
          <t>enk</t>
        </is>
      </c>
      <c r="R1183" t="inlineStr">
        <is>
          <t xml:space="preserve">BV </t>
        </is>
      </c>
      <c r="S1183" t="n">
        <v>3</v>
      </c>
      <c r="T1183" t="n">
        <v>3</v>
      </c>
      <c r="U1183" t="inlineStr">
        <is>
          <t>1998-03-22</t>
        </is>
      </c>
      <c r="V1183" t="inlineStr">
        <is>
          <t>1998-03-22</t>
        </is>
      </c>
      <c r="W1183" t="inlineStr">
        <is>
          <t>1991-11-11</t>
        </is>
      </c>
      <c r="X1183" t="inlineStr">
        <is>
          <t>1991-11-11</t>
        </is>
      </c>
      <c r="Y1183" t="n">
        <v>17</v>
      </c>
      <c r="Z1183" t="n">
        <v>15</v>
      </c>
      <c r="AA1183" t="n">
        <v>81</v>
      </c>
      <c r="AB1183" t="n">
        <v>2</v>
      </c>
      <c r="AC1183" t="n">
        <v>2</v>
      </c>
      <c r="AD1183" t="n">
        <v>4</v>
      </c>
      <c r="AE1183" t="n">
        <v>12</v>
      </c>
      <c r="AF1183" t="n">
        <v>0</v>
      </c>
      <c r="AG1183" t="n">
        <v>1</v>
      </c>
      <c r="AH1183" t="n">
        <v>1</v>
      </c>
      <c r="AI1183" t="n">
        <v>4</v>
      </c>
      <c r="AJ1183" t="n">
        <v>3</v>
      </c>
      <c r="AK1183" t="n">
        <v>10</v>
      </c>
      <c r="AL1183" t="n">
        <v>0</v>
      </c>
      <c r="AM1183" t="n">
        <v>0</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HYPERLINK("https://creighton-primo.hosted.exlibrisgroup.com/primo-explore/search?tab=default_tab&amp;search_scope=EVERYTHING&amp;vid=01CRU&amp;lang=en_US&amp;offset=0&amp;query=any,contains,991000318849702656","Catalog Record")</f>
        <v/>
      </c>
      <c r="AT1183">
        <f>HYPERLINK("http://www.worldcat.org/oclc/10144640","WorldCat Record")</f>
        <v/>
      </c>
      <c r="AU1183" t="inlineStr">
        <is>
          <t>424051875:eng</t>
        </is>
      </c>
      <c r="AV1183" t="inlineStr">
        <is>
          <t>10144640</t>
        </is>
      </c>
      <c r="AW1183" t="inlineStr">
        <is>
          <t>991000318849702656</t>
        </is>
      </c>
      <c r="AX1183" t="inlineStr">
        <is>
          <t>991000318849702656</t>
        </is>
      </c>
      <c r="AY1183" t="inlineStr">
        <is>
          <t>2260799320002656</t>
        </is>
      </c>
      <c r="AZ1183" t="inlineStr">
        <is>
          <t>BOOK</t>
        </is>
      </c>
      <c r="BC1183" t="inlineStr">
        <is>
          <t>32285000835206</t>
        </is>
      </c>
      <c r="BD1183" t="inlineStr">
        <is>
          <t>893320963</t>
        </is>
      </c>
    </row>
    <row r="1184">
      <c r="A1184" t="inlineStr">
        <is>
          <t>No</t>
        </is>
      </c>
      <c r="B1184" t="inlineStr">
        <is>
          <t>BV85 .H46 1994</t>
        </is>
      </c>
      <c r="C1184" t="inlineStr">
        <is>
          <t>0                      BV 0085000H  46          1994</t>
        </is>
      </c>
      <c r="D1184" t="inlineStr">
        <is>
          <t>The ascent of the mountain of God : daily reflections for the journey of Lent / Edward Hays.</t>
        </is>
      </c>
      <c r="F1184" t="inlineStr">
        <is>
          <t>No</t>
        </is>
      </c>
      <c r="G1184" t="inlineStr">
        <is>
          <t>1</t>
        </is>
      </c>
      <c r="H1184" t="inlineStr">
        <is>
          <t>No</t>
        </is>
      </c>
      <c r="I1184" t="inlineStr">
        <is>
          <t>No</t>
        </is>
      </c>
      <c r="J1184" t="inlineStr">
        <is>
          <t>0</t>
        </is>
      </c>
      <c r="K1184" t="inlineStr">
        <is>
          <t>Hays, Edward M.</t>
        </is>
      </c>
      <c r="L1184" t="inlineStr">
        <is>
          <t>Leavenworth, KS : Forest of Peace Pub., c1994.</t>
        </is>
      </c>
      <c r="M1184" t="inlineStr">
        <is>
          <t>1994</t>
        </is>
      </c>
      <c r="O1184" t="inlineStr">
        <is>
          <t>eng</t>
        </is>
      </c>
      <c r="P1184" t="inlineStr">
        <is>
          <t>ksu</t>
        </is>
      </c>
      <c r="R1184" t="inlineStr">
        <is>
          <t xml:space="preserve">BV </t>
        </is>
      </c>
      <c r="S1184" t="n">
        <v>3</v>
      </c>
      <c r="T1184" t="n">
        <v>3</v>
      </c>
      <c r="U1184" t="inlineStr">
        <is>
          <t>2000-06-30</t>
        </is>
      </c>
      <c r="V1184" t="inlineStr">
        <is>
          <t>2000-06-30</t>
        </is>
      </c>
      <c r="W1184" t="inlineStr">
        <is>
          <t>1995-03-07</t>
        </is>
      </c>
      <c r="X1184" t="inlineStr">
        <is>
          <t>1995-03-07</t>
        </is>
      </c>
      <c r="Y1184" t="n">
        <v>92</v>
      </c>
      <c r="Z1184" t="n">
        <v>84</v>
      </c>
      <c r="AA1184" t="n">
        <v>89</v>
      </c>
      <c r="AB1184" t="n">
        <v>3</v>
      </c>
      <c r="AC1184" t="n">
        <v>3</v>
      </c>
      <c r="AD1184" t="n">
        <v>8</v>
      </c>
      <c r="AE1184" t="n">
        <v>8</v>
      </c>
      <c r="AF1184" t="n">
        <v>1</v>
      </c>
      <c r="AG1184" t="n">
        <v>1</v>
      </c>
      <c r="AH1184" t="n">
        <v>3</v>
      </c>
      <c r="AI1184" t="n">
        <v>3</v>
      </c>
      <c r="AJ1184" t="n">
        <v>5</v>
      </c>
      <c r="AK1184" t="n">
        <v>5</v>
      </c>
      <c r="AL1184" t="n">
        <v>1</v>
      </c>
      <c r="AM1184" t="n">
        <v>1</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HYPERLINK("https://creighton-primo.hosted.exlibrisgroup.com/primo-explore/search?tab=default_tab&amp;search_scope=EVERYTHING&amp;vid=01CRU&amp;lang=en_US&amp;offset=0&amp;query=any,contains,991002395719702656","Catalog Record")</f>
        <v/>
      </c>
      <c r="AT1184">
        <f>HYPERLINK("http://www.worldcat.org/oclc/31132022","WorldCat Record")</f>
        <v/>
      </c>
      <c r="AU1184" t="inlineStr">
        <is>
          <t>4812393411:eng</t>
        </is>
      </c>
      <c r="AV1184" t="inlineStr">
        <is>
          <t>31132022</t>
        </is>
      </c>
      <c r="AW1184" t="inlineStr">
        <is>
          <t>991002395719702656</t>
        </is>
      </c>
      <c r="AX1184" t="inlineStr">
        <is>
          <t>991002395719702656</t>
        </is>
      </c>
      <c r="AY1184" t="inlineStr">
        <is>
          <t>2271367830002656</t>
        </is>
      </c>
      <c r="AZ1184" t="inlineStr">
        <is>
          <t>BOOK</t>
        </is>
      </c>
      <c r="BB1184" t="inlineStr">
        <is>
          <t>9780939516261</t>
        </is>
      </c>
      <c r="BC1184" t="inlineStr">
        <is>
          <t>32285002006582</t>
        </is>
      </c>
      <c r="BD1184" t="inlineStr">
        <is>
          <t>893886222</t>
        </is>
      </c>
    </row>
    <row r="1185">
      <c r="A1185" t="inlineStr">
        <is>
          <t>No</t>
        </is>
      </c>
      <c r="B1185" t="inlineStr">
        <is>
          <t>BV85 .K385 1999</t>
        </is>
      </c>
      <c r="C1185" t="inlineStr">
        <is>
          <t>0                      BV 0085000K  385         1999</t>
        </is>
      </c>
      <c r="D1185" t="inlineStr">
        <is>
          <t>Journey to the center : a Lenten passage / Thomas Keating.</t>
        </is>
      </c>
      <c r="F1185" t="inlineStr">
        <is>
          <t>No</t>
        </is>
      </c>
      <c r="G1185" t="inlineStr">
        <is>
          <t>1</t>
        </is>
      </c>
      <c r="H1185" t="inlineStr">
        <is>
          <t>No</t>
        </is>
      </c>
      <c r="I1185" t="inlineStr">
        <is>
          <t>No</t>
        </is>
      </c>
      <c r="J1185" t="inlineStr">
        <is>
          <t>0</t>
        </is>
      </c>
      <c r="K1185" t="inlineStr">
        <is>
          <t>Keating, Thomas.</t>
        </is>
      </c>
      <c r="L1185" t="inlineStr">
        <is>
          <t>New York : Crossroad Pub., c1999.</t>
        </is>
      </c>
      <c r="M1185" t="inlineStr">
        <is>
          <t>1999</t>
        </is>
      </c>
      <c r="O1185" t="inlineStr">
        <is>
          <t>eng</t>
        </is>
      </c>
      <c r="P1185" t="inlineStr">
        <is>
          <t>nyu</t>
        </is>
      </c>
      <c r="R1185" t="inlineStr">
        <is>
          <t xml:space="preserve">BV </t>
        </is>
      </c>
      <c r="S1185" t="n">
        <v>1</v>
      </c>
      <c r="T1185" t="n">
        <v>1</v>
      </c>
      <c r="U1185" t="inlineStr">
        <is>
          <t>2004-02-27</t>
        </is>
      </c>
      <c r="V1185" t="inlineStr">
        <is>
          <t>2004-02-27</t>
        </is>
      </c>
      <c r="W1185" t="inlineStr">
        <is>
          <t>1999-02-10</t>
        </is>
      </c>
      <c r="X1185" t="inlineStr">
        <is>
          <t>1999-02-10</t>
        </is>
      </c>
      <c r="Y1185" t="n">
        <v>114</v>
      </c>
      <c r="Z1185" t="n">
        <v>108</v>
      </c>
      <c r="AA1185" t="n">
        <v>114</v>
      </c>
      <c r="AB1185" t="n">
        <v>2</v>
      </c>
      <c r="AC1185" t="n">
        <v>2</v>
      </c>
      <c r="AD1185" t="n">
        <v>8</v>
      </c>
      <c r="AE1185" t="n">
        <v>8</v>
      </c>
      <c r="AF1185" t="n">
        <v>3</v>
      </c>
      <c r="AG1185" t="n">
        <v>3</v>
      </c>
      <c r="AH1185" t="n">
        <v>2</v>
      </c>
      <c r="AI1185" t="n">
        <v>2</v>
      </c>
      <c r="AJ1185" t="n">
        <v>5</v>
      </c>
      <c r="AK1185" t="n">
        <v>5</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HYPERLINK("https://creighton-primo.hosted.exlibrisgroup.com/primo-explore/search?tab=default_tab&amp;search_scope=EVERYTHING&amp;vid=01CRU&amp;lang=en_US&amp;offset=0&amp;query=any,contains,991002942389702656","Catalog Record")</f>
        <v/>
      </c>
      <c r="AT1185">
        <f>HYPERLINK("http://www.worldcat.org/oclc/39180849","WorldCat Record")</f>
        <v/>
      </c>
      <c r="AU1185" t="inlineStr">
        <is>
          <t>42218904:eng</t>
        </is>
      </c>
      <c r="AV1185" t="inlineStr">
        <is>
          <t>39180849</t>
        </is>
      </c>
      <c r="AW1185" t="inlineStr">
        <is>
          <t>991002942389702656</t>
        </is>
      </c>
      <c r="AX1185" t="inlineStr">
        <is>
          <t>991002942389702656</t>
        </is>
      </c>
      <c r="AY1185" t="inlineStr">
        <is>
          <t>2270965540002656</t>
        </is>
      </c>
      <c r="AZ1185" t="inlineStr">
        <is>
          <t>BOOK</t>
        </is>
      </c>
      <c r="BB1185" t="inlineStr">
        <is>
          <t>9780824517038</t>
        </is>
      </c>
      <c r="BC1185" t="inlineStr">
        <is>
          <t>32285003518965</t>
        </is>
      </c>
      <c r="BD1185" t="inlineStr">
        <is>
          <t>893698467</t>
        </is>
      </c>
    </row>
    <row r="1186">
      <c r="A1186" t="inlineStr">
        <is>
          <t>No</t>
        </is>
      </c>
      <c r="B1186" t="inlineStr">
        <is>
          <t>BV85 .P575 1964</t>
        </is>
      </c>
      <c r="C1186" t="inlineStr">
        <is>
          <t>0                      BV 0085000P  575         1964</t>
        </is>
      </c>
      <c r="D1186" t="inlineStr">
        <is>
          <t>Times of grace : the sign of forty in the Bible / Roger Poelman. [Translated from the French by D.P. Farina.</t>
        </is>
      </c>
      <c r="F1186" t="inlineStr">
        <is>
          <t>No</t>
        </is>
      </c>
      <c r="G1186" t="inlineStr">
        <is>
          <t>1</t>
        </is>
      </c>
      <c r="H1186" t="inlineStr">
        <is>
          <t>No</t>
        </is>
      </c>
      <c r="I1186" t="inlineStr">
        <is>
          <t>No</t>
        </is>
      </c>
      <c r="J1186" t="inlineStr">
        <is>
          <t>0</t>
        </is>
      </c>
      <c r="K1186" t="inlineStr">
        <is>
          <t>Poelman, Roger, 1911-</t>
        </is>
      </c>
      <c r="L1186" t="inlineStr">
        <is>
          <t>New York] : Herder and Herder, [1964]</t>
        </is>
      </c>
      <c r="M1186" t="inlineStr">
        <is>
          <t>1964</t>
        </is>
      </c>
      <c r="O1186" t="inlineStr">
        <is>
          <t>eng</t>
        </is>
      </c>
      <c r="P1186" t="inlineStr">
        <is>
          <t xml:space="preserve">xx </t>
        </is>
      </c>
      <c r="R1186" t="inlineStr">
        <is>
          <t xml:space="preserve">BV </t>
        </is>
      </c>
      <c r="S1186" t="n">
        <v>3</v>
      </c>
      <c r="T1186" t="n">
        <v>3</v>
      </c>
      <c r="U1186" t="inlineStr">
        <is>
          <t>1998-03-22</t>
        </is>
      </c>
      <c r="V1186" t="inlineStr">
        <is>
          <t>1998-03-22</t>
        </is>
      </c>
      <c r="W1186" t="inlineStr">
        <is>
          <t>1991-11-11</t>
        </is>
      </c>
      <c r="X1186" t="inlineStr">
        <is>
          <t>1991-11-11</t>
        </is>
      </c>
      <c r="Y1186" t="n">
        <v>192</v>
      </c>
      <c r="Z1186" t="n">
        <v>166</v>
      </c>
      <c r="AA1186" t="n">
        <v>172</v>
      </c>
      <c r="AB1186" t="n">
        <v>3</v>
      </c>
      <c r="AC1186" t="n">
        <v>3</v>
      </c>
      <c r="AD1186" t="n">
        <v>21</v>
      </c>
      <c r="AE1186" t="n">
        <v>21</v>
      </c>
      <c r="AF1186" t="n">
        <v>6</v>
      </c>
      <c r="AG1186" t="n">
        <v>6</v>
      </c>
      <c r="AH1186" t="n">
        <v>5</v>
      </c>
      <c r="AI1186" t="n">
        <v>5</v>
      </c>
      <c r="AJ1186" t="n">
        <v>15</v>
      </c>
      <c r="AK1186" t="n">
        <v>15</v>
      </c>
      <c r="AL1186" t="n">
        <v>1</v>
      </c>
      <c r="AM1186" t="n">
        <v>1</v>
      </c>
      <c r="AN1186" t="n">
        <v>0</v>
      </c>
      <c r="AO1186" t="n">
        <v>0</v>
      </c>
      <c r="AP1186" t="inlineStr">
        <is>
          <t>No</t>
        </is>
      </c>
      <c r="AQ1186" t="inlineStr">
        <is>
          <t>Yes</t>
        </is>
      </c>
      <c r="AR1186">
        <f>HYPERLINK("http://catalog.hathitrust.org/Record/102375035","HathiTrust Record")</f>
        <v/>
      </c>
      <c r="AS1186">
        <f>HYPERLINK("https://creighton-primo.hosted.exlibrisgroup.com/primo-explore/search?tab=default_tab&amp;search_scope=EVERYTHING&amp;vid=01CRU&amp;lang=en_US&amp;offset=0&amp;query=any,contains,991003747999702656","Catalog Record")</f>
        <v/>
      </c>
      <c r="AT1186">
        <f>HYPERLINK("http://www.worldcat.org/oclc/1420714","WorldCat Record")</f>
        <v/>
      </c>
      <c r="AU1186" t="inlineStr">
        <is>
          <t>503694866:eng</t>
        </is>
      </c>
      <c r="AV1186" t="inlineStr">
        <is>
          <t>1420714</t>
        </is>
      </c>
      <c r="AW1186" t="inlineStr">
        <is>
          <t>991003747999702656</t>
        </is>
      </c>
      <c r="AX1186" t="inlineStr">
        <is>
          <t>991003747999702656</t>
        </is>
      </c>
      <c r="AY1186" t="inlineStr">
        <is>
          <t>2268900660002656</t>
        </is>
      </c>
      <c r="AZ1186" t="inlineStr">
        <is>
          <t>BOOK</t>
        </is>
      </c>
      <c r="BC1186" t="inlineStr">
        <is>
          <t>32285000835248</t>
        </is>
      </c>
      <c r="BD1186" t="inlineStr">
        <is>
          <t>893810149</t>
        </is>
      </c>
    </row>
    <row r="1187">
      <c r="A1187" t="inlineStr">
        <is>
          <t>No</t>
        </is>
      </c>
      <c r="B1187" t="inlineStr">
        <is>
          <t>BV860 .B3</t>
        </is>
      </c>
      <c r="C1187" t="inlineStr">
        <is>
          <t>0                      BV 0860000B  3</t>
        </is>
      </c>
      <c r="D1187" t="inlineStr">
        <is>
          <t>The theology of the sacraments : and other papers / Donald M. Baillie. With a biographical essay by John Baillie.</t>
        </is>
      </c>
      <c r="F1187" t="inlineStr">
        <is>
          <t>No</t>
        </is>
      </c>
      <c r="G1187" t="inlineStr">
        <is>
          <t>1</t>
        </is>
      </c>
      <c r="H1187" t="inlineStr">
        <is>
          <t>No</t>
        </is>
      </c>
      <c r="I1187" t="inlineStr">
        <is>
          <t>No</t>
        </is>
      </c>
      <c r="J1187" t="inlineStr">
        <is>
          <t>0</t>
        </is>
      </c>
      <c r="K1187" t="inlineStr">
        <is>
          <t>Baillie, D. M. (Donald Macpherson), 1887-1954.</t>
        </is>
      </c>
      <c r="L1187" t="inlineStr">
        <is>
          <t>New York, Scribner [1957]</t>
        </is>
      </c>
      <c r="M1187" t="inlineStr">
        <is>
          <t>1957</t>
        </is>
      </c>
      <c r="O1187" t="inlineStr">
        <is>
          <t>eng</t>
        </is>
      </c>
      <c r="P1187" t="inlineStr">
        <is>
          <t>nyu</t>
        </is>
      </c>
      <c r="R1187" t="inlineStr">
        <is>
          <t xml:space="preserve">BV </t>
        </is>
      </c>
      <c r="S1187" t="n">
        <v>3</v>
      </c>
      <c r="T1187" t="n">
        <v>3</v>
      </c>
      <c r="U1187" t="inlineStr">
        <is>
          <t>2008-04-12</t>
        </is>
      </c>
      <c r="V1187" t="inlineStr">
        <is>
          <t>2008-04-12</t>
        </is>
      </c>
      <c r="W1187" t="inlineStr">
        <is>
          <t>1992-01-27</t>
        </is>
      </c>
      <c r="X1187" t="inlineStr">
        <is>
          <t>1992-01-27</t>
        </is>
      </c>
      <c r="Y1187" t="n">
        <v>545</v>
      </c>
      <c r="Z1187" t="n">
        <v>500</v>
      </c>
      <c r="AA1187" t="n">
        <v>573</v>
      </c>
      <c r="AB1187" t="n">
        <v>9</v>
      </c>
      <c r="AC1187" t="n">
        <v>10</v>
      </c>
      <c r="AD1187" t="n">
        <v>27</v>
      </c>
      <c r="AE1187" t="n">
        <v>33</v>
      </c>
      <c r="AF1187" t="n">
        <v>13</v>
      </c>
      <c r="AG1187" t="n">
        <v>13</v>
      </c>
      <c r="AH1187" t="n">
        <v>3</v>
      </c>
      <c r="AI1187" t="n">
        <v>5</v>
      </c>
      <c r="AJ1187" t="n">
        <v>8</v>
      </c>
      <c r="AK1187" t="n">
        <v>14</v>
      </c>
      <c r="AL1187" t="n">
        <v>7</v>
      </c>
      <c r="AM1187" t="n">
        <v>7</v>
      </c>
      <c r="AN1187" t="n">
        <v>0</v>
      </c>
      <c r="AO1187" t="n">
        <v>0</v>
      </c>
      <c r="AP1187" t="inlineStr">
        <is>
          <t>No</t>
        </is>
      </c>
      <c r="AQ1187" t="inlineStr">
        <is>
          <t>No</t>
        </is>
      </c>
      <c r="AR1187">
        <f>HYPERLINK("http://catalog.hathitrust.org/Record/009754831","HathiTrust Record")</f>
        <v/>
      </c>
      <c r="AS1187">
        <f>HYPERLINK("https://creighton-primo.hosted.exlibrisgroup.com/primo-explore/search?tab=default_tab&amp;search_scope=EVERYTHING&amp;vid=01CRU&amp;lang=en_US&amp;offset=0&amp;query=any,contains,991002642269702656","Catalog Record")</f>
        <v/>
      </c>
      <c r="AT1187">
        <f>HYPERLINK("http://www.worldcat.org/oclc/384785","WorldCat Record")</f>
        <v/>
      </c>
      <c r="AU1187" t="inlineStr">
        <is>
          <t>1097376008:eng</t>
        </is>
      </c>
      <c r="AV1187" t="inlineStr">
        <is>
          <t>384785</t>
        </is>
      </c>
      <c r="AW1187" t="inlineStr">
        <is>
          <t>991002642269702656</t>
        </is>
      </c>
      <c r="AX1187" t="inlineStr">
        <is>
          <t>991002642269702656</t>
        </is>
      </c>
      <c r="AY1187" t="inlineStr">
        <is>
          <t>2258570000002656</t>
        </is>
      </c>
      <c r="AZ1187" t="inlineStr">
        <is>
          <t>BOOK</t>
        </is>
      </c>
      <c r="BC1187" t="inlineStr">
        <is>
          <t>32285000925783</t>
        </is>
      </c>
      <c r="BD1187" t="inlineStr">
        <is>
          <t>893421623</t>
        </is>
      </c>
    </row>
    <row r="1188">
      <c r="A1188" t="inlineStr">
        <is>
          <t>No</t>
        </is>
      </c>
      <c r="B1188" t="inlineStr">
        <is>
          <t>BV873.I54 J64 1999</t>
        </is>
      </c>
      <c r="C1188" t="inlineStr">
        <is>
          <t>0                      BV 0873000I  54                 J  64          1999</t>
        </is>
      </c>
      <c r="D1188" t="inlineStr">
        <is>
          <t>The rites of Christian initiation : their evolution and interpretation / Maxwell E. Johnson.</t>
        </is>
      </c>
      <c r="F1188" t="inlineStr">
        <is>
          <t>No</t>
        </is>
      </c>
      <c r="G1188" t="inlineStr">
        <is>
          <t>1</t>
        </is>
      </c>
      <c r="H1188" t="inlineStr">
        <is>
          <t>No</t>
        </is>
      </c>
      <c r="I1188" t="inlineStr">
        <is>
          <t>No</t>
        </is>
      </c>
      <c r="J1188" t="inlineStr">
        <is>
          <t>0</t>
        </is>
      </c>
      <c r="K1188" t="inlineStr">
        <is>
          <t>Johnson, Maxwell E., 1952-</t>
        </is>
      </c>
      <c r="L1188" t="inlineStr">
        <is>
          <t>Collegeville, Minn. : Liturgical Press, c1999.</t>
        </is>
      </c>
      <c r="M1188" t="inlineStr">
        <is>
          <t>1999</t>
        </is>
      </c>
      <c r="O1188" t="inlineStr">
        <is>
          <t>eng</t>
        </is>
      </c>
      <c r="P1188" t="inlineStr">
        <is>
          <t>mnu</t>
        </is>
      </c>
      <c r="R1188" t="inlineStr">
        <is>
          <t xml:space="preserve">BV </t>
        </is>
      </c>
      <c r="S1188" t="n">
        <v>2</v>
      </c>
      <c r="T1188" t="n">
        <v>2</v>
      </c>
      <c r="U1188" t="inlineStr">
        <is>
          <t>2007-04-23</t>
        </is>
      </c>
      <c r="V1188" t="inlineStr">
        <is>
          <t>2007-04-23</t>
        </is>
      </c>
      <c r="W1188" t="inlineStr">
        <is>
          <t>2007-04-23</t>
        </is>
      </c>
      <c r="X1188" t="inlineStr">
        <is>
          <t>2007-04-23</t>
        </is>
      </c>
      <c r="Y1188" t="n">
        <v>267</v>
      </c>
      <c r="Z1188" t="n">
        <v>210</v>
      </c>
      <c r="AA1188" t="n">
        <v>318</v>
      </c>
      <c r="AB1188" t="n">
        <v>2</v>
      </c>
      <c r="AC1188" t="n">
        <v>4</v>
      </c>
      <c r="AD1188" t="n">
        <v>18</v>
      </c>
      <c r="AE1188" t="n">
        <v>27</v>
      </c>
      <c r="AF1188" t="n">
        <v>2</v>
      </c>
      <c r="AG1188" t="n">
        <v>8</v>
      </c>
      <c r="AH1188" t="n">
        <v>6</v>
      </c>
      <c r="AI1188" t="n">
        <v>7</v>
      </c>
      <c r="AJ1188" t="n">
        <v>11</v>
      </c>
      <c r="AK1188" t="n">
        <v>15</v>
      </c>
      <c r="AL1188" t="n">
        <v>1</v>
      </c>
      <c r="AM1188" t="n">
        <v>3</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HYPERLINK("https://creighton-primo.hosted.exlibrisgroup.com/primo-explore/search?tab=default_tab&amp;search_scope=EVERYTHING&amp;vid=01CRU&amp;lang=en_US&amp;offset=0&amp;query=any,contains,991005068729702656","Catalog Record")</f>
        <v/>
      </c>
      <c r="AT1188">
        <f>HYPERLINK("http://www.worldcat.org/oclc/39257163","WorldCat Record")</f>
        <v/>
      </c>
      <c r="AU1188" t="inlineStr">
        <is>
          <t>866063080:eng</t>
        </is>
      </c>
      <c r="AV1188" t="inlineStr">
        <is>
          <t>39257163</t>
        </is>
      </c>
      <c r="AW1188" t="inlineStr">
        <is>
          <t>991005068729702656</t>
        </is>
      </c>
      <c r="AX1188" t="inlineStr">
        <is>
          <t>991005068729702656</t>
        </is>
      </c>
      <c r="AY1188" t="inlineStr">
        <is>
          <t>2262411210002656</t>
        </is>
      </c>
      <c r="AZ1188" t="inlineStr">
        <is>
          <t>BOOK</t>
        </is>
      </c>
      <c r="BB1188" t="inlineStr">
        <is>
          <t>9780814660119</t>
        </is>
      </c>
      <c r="BC1188" t="inlineStr">
        <is>
          <t>32285005289276</t>
        </is>
      </c>
      <c r="BD1188" t="inlineStr">
        <is>
          <t>893254398</t>
        </is>
      </c>
    </row>
    <row r="1189">
      <c r="A1189" t="inlineStr">
        <is>
          <t>No</t>
        </is>
      </c>
      <c r="B1189" t="inlineStr">
        <is>
          <t>BV875 .E44 1933</t>
        </is>
      </c>
      <c r="C1189" t="inlineStr">
        <is>
          <t>0                      BV 0875000E  44          1933</t>
        </is>
      </c>
      <c r="D1189" t="inlineStr">
        <is>
          <t>Ordination anointings in the Western church before 1000 A.D. / Gerald Ellard.</t>
        </is>
      </c>
      <c r="F1189" t="inlineStr">
        <is>
          <t>No</t>
        </is>
      </c>
      <c r="G1189" t="inlineStr">
        <is>
          <t>1</t>
        </is>
      </c>
      <c r="H1189" t="inlineStr">
        <is>
          <t>No</t>
        </is>
      </c>
      <c r="I1189" t="inlineStr">
        <is>
          <t>No</t>
        </is>
      </c>
      <c r="J1189" t="inlineStr">
        <is>
          <t>0</t>
        </is>
      </c>
      <c r="K1189" t="inlineStr">
        <is>
          <t>Ellard, Gerald, 1894-1963.</t>
        </is>
      </c>
      <c r="L1189" t="inlineStr">
        <is>
          <t>Cambridge, Mass. : Mediaeval Academy of America, 1933.</t>
        </is>
      </c>
      <c r="M1189" t="inlineStr">
        <is>
          <t>1933</t>
        </is>
      </c>
      <c r="O1189" t="inlineStr">
        <is>
          <t>eng</t>
        </is>
      </c>
      <c r="P1189" t="inlineStr">
        <is>
          <t>mau</t>
        </is>
      </c>
      <c r="Q1189" t="inlineStr">
        <is>
          <t>Academy publications ; no. 16</t>
        </is>
      </c>
      <c r="R1189" t="inlineStr">
        <is>
          <t xml:space="preserve">BV </t>
        </is>
      </c>
      <c r="S1189" t="n">
        <v>1</v>
      </c>
      <c r="T1189" t="n">
        <v>1</v>
      </c>
      <c r="U1189" t="inlineStr">
        <is>
          <t>1997-04-17</t>
        </is>
      </c>
      <c r="V1189" t="inlineStr">
        <is>
          <t>1997-04-17</t>
        </is>
      </c>
      <c r="W1189" t="inlineStr">
        <is>
          <t>1992-01-27</t>
        </is>
      </c>
      <c r="X1189" t="inlineStr">
        <is>
          <t>1992-01-27</t>
        </is>
      </c>
      <c r="Y1189" t="n">
        <v>203</v>
      </c>
      <c r="Z1189" t="n">
        <v>161</v>
      </c>
      <c r="AA1189" t="n">
        <v>394</v>
      </c>
      <c r="AB1189" t="n">
        <v>2</v>
      </c>
      <c r="AC1189" t="n">
        <v>3</v>
      </c>
      <c r="AD1189" t="n">
        <v>19</v>
      </c>
      <c r="AE1189" t="n">
        <v>27</v>
      </c>
      <c r="AF1189" t="n">
        <v>3</v>
      </c>
      <c r="AG1189" t="n">
        <v>8</v>
      </c>
      <c r="AH1189" t="n">
        <v>6</v>
      </c>
      <c r="AI1189" t="n">
        <v>9</v>
      </c>
      <c r="AJ1189" t="n">
        <v>15</v>
      </c>
      <c r="AK1189" t="n">
        <v>16</v>
      </c>
      <c r="AL1189" t="n">
        <v>1</v>
      </c>
      <c r="AM1189" t="n">
        <v>2</v>
      </c>
      <c r="AN1189" t="n">
        <v>0</v>
      </c>
      <c r="AO1189" t="n">
        <v>0</v>
      </c>
      <c r="AP1189" t="inlineStr">
        <is>
          <t>Yes</t>
        </is>
      </c>
      <c r="AQ1189" t="inlineStr">
        <is>
          <t>No</t>
        </is>
      </c>
      <c r="AR1189">
        <f>HYPERLINK("http://catalog.hathitrust.org/Record/001416870","HathiTrust Record")</f>
        <v/>
      </c>
      <c r="AS1189">
        <f>HYPERLINK("https://creighton-primo.hosted.exlibrisgroup.com/primo-explore/search?tab=default_tab&amp;search_scope=EVERYTHING&amp;vid=01CRU&amp;lang=en_US&amp;offset=0&amp;query=any,contains,991005108539702656","Catalog Record")</f>
        <v/>
      </c>
      <c r="AT1189">
        <f>HYPERLINK("http://www.worldcat.org/oclc/7379399","WorldCat Record")</f>
        <v/>
      </c>
      <c r="AU1189" t="inlineStr">
        <is>
          <t>4086945:eng</t>
        </is>
      </c>
      <c r="AV1189" t="inlineStr">
        <is>
          <t>7379399</t>
        </is>
      </c>
      <c r="AW1189" t="inlineStr">
        <is>
          <t>991005108539702656</t>
        </is>
      </c>
      <c r="AX1189" t="inlineStr">
        <is>
          <t>991005108539702656</t>
        </is>
      </c>
      <c r="AY1189" t="inlineStr">
        <is>
          <t>2270102950002656</t>
        </is>
      </c>
      <c r="AZ1189" t="inlineStr">
        <is>
          <t>BOOK</t>
        </is>
      </c>
      <c r="BC1189" t="inlineStr">
        <is>
          <t>32285000925817</t>
        </is>
      </c>
      <c r="BD1189" t="inlineStr">
        <is>
          <t>893625463</t>
        </is>
      </c>
    </row>
    <row r="1190">
      <c r="A1190" t="inlineStr">
        <is>
          <t>No</t>
        </is>
      </c>
      <c r="B1190" t="inlineStr">
        <is>
          <t>BV890 .B46 1985</t>
        </is>
      </c>
      <c r="C1190" t="inlineStr">
        <is>
          <t>0                      BV 0890000B  46          1985</t>
        </is>
      </c>
      <c r="D1190" t="inlineStr">
        <is>
          <t>Restless bones : the story of relics / James Bentley.</t>
        </is>
      </c>
      <c r="F1190" t="inlineStr">
        <is>
          <t>No</t>
        </is>
      </c>
      <c r="G1190" t="inlineStr">
        <is>
          <t>1</t>
        </is>
      </c>
      <c r="H1190" t="inlineStr">
        <is>
          <t>No</t>
        </is>
      </c>
      <c r="I1190" t="inlineStr">
        <is>
          <t>No</t>
        </is>
      </c>
      <c r="J1190" t="inlineStr">
        <is>
          <t>0</t>
        </is>
      </c>
      <c r="K1190" t="inlineStr">
        <is>
          <t>Bentley, James, 1937-2000.</t>
        </is>
      </c>
      <c r="L1190" t="inlineStr">
        <is>
          <t>London : Constable, 1985.</t>
        </is>
      </c>
      <c r="M1190" t="inlineStr">
        <is>
          <t>1985</t>
        </is>
      </c>
      <c r="O1190" t="inlineStr">
        <is>
          <t>eng</t>
        </is>
      </c>
      <c r="P1190" t="inlineStr">
        <is>
          <t>enk</t>
        </is>
      </c>
      <c r="R1190" t="inlineStr">
        <is>
          <t xml:space="preserve">BV </t>
        </is>
      </c>
      <c r="S1190" t="n">
        <v>3</v>
      </c>
      <c r="T1190" t="n">
        <v>3</v>
      </c>
      <c r="U1190" t="inlineStr">
        <is>
          <t>2010-04-13</t>
        </is>
      </c>
      <c r="V1190" t="inlineStr">
        <is>
          <t>2010-04-13</t>
        </is>
      </c>
      <c r="W1190" t="inlineStr">
        <is>
          <t>1992-01-27</t>
        </is>
      </c>
      <c r="X1190" t="inlineStr">
        <is>
          <t>1992-01-27</t>
        </is>
      </c>
      <c r="Y1190" t="n">
        <v>212</v>
      </c>
      <c r="Z1190" t="n">
        <v>118</v>
      </c>
      <c r="AA1190" t="n">
        <v>126</v>
      </c>
      <c r="AB1190" t="n">
        <v>2</v>
      </c>
      <c r="AC1190" t="n">
        <v>2</v>
      </c>
      <c r="AD1190" t="n">
        <v>5</v>
      </c>
      <c r="AE1190" t="n">
        <v>5</v>
      </c>
      <c r="AF1190" t="n">
        <v>0</v>
      </c>
      <c r="AG1190" t="n">
        <v>0</v>
      </c>
      <c r="AH1190" t="n">
        <v>1</v>
      </c>
      <c r="AI1190" t="n">
        <v>1</v>
      </c>
      <c r="AJ1190" t="n">
        <v>3</v>
      </c>
      <c r="AK1190" t="n">
        <v>3</v>
      </c>
      <c r="AL1190" t="n">
        <v>1</v>
      </c>
      <c r="AM1190" t="n">
        <v>1</v>
      </c>
      <c r="AN1190" t="n">
        <v>0</v>
      </c>
      <c r="AO1190" t="n">
        <v>0</v>
      </c>
      <c r="AP1190" t="inlineStr">
        <is>
          <t>No</t>
        </is>
      </c>
      <c r="AQ1190" t="inlineStr">
        <is>
          <t>Yes</t>
        </is>
      </c>
      <c r="AR1190">
        <f>HYPERLINK("http://catalog.hathitrust.org/Record/000660007","HathiTrust Record")</f>
        <v/>
      </c>
      <c r="AS1190">
        <f>HYPERLINK("https://creighton-primo.hosted.exlibrisgroup.com/primo-explore/search?tab=default_tab&amp;search_scope=EVERYTHING&amp;vid=01CRU&amp;lang=en_US&amp;offset=0&amp;query=any,contains,991000692459702656","Catalog Record")</f>
        <v/>
      </c>
      <c r="AT1190">
        <f>HYPERLINK("http://www.worldcat.org/oclc/14241254","WorldCat Record")</f>
        <v/>
      </c>
      <c r="AU1190" t="inlineStr">
        <is>
          <t>9035070:eng</t>
        </is>
      </c>
      <c r="AV1190" t="inlineStr">
        <is>
          <t>14241254</t>
        </is>
      </c>
      <c r="AW1190" t="inlineStr">
        <is>
          <t>991000692459702656</t>
        </is>
      </c>
      <c r="AX1190" t="inlineStr">
        <is>
          <t>991000692459702656</t>
        </is>
      </c>
      <c r="AY1190" t="inlineStr">
        <is>
          <t>2255616550002656</t>
        </is>
      </c>
      <c r="AZ1190" t="inlineStr">
        <is>
          <t>BOOK</t>
        </is>
      </c>
      <c r="BB1190" t="inlineStr">
        <is>
          <t>9780094658509</t>
        </is>
      </c>
      <c r="BC1190" t="inlineStr">
        <is>
          <t>32285000925825</t>
        </is>
      </c>
      <c r="BD1190" t="inlineStr">
        <is>
          <t>893339794</t>
        </is>
      </c>
    </row>
    <row r="1191">
      <c r="A1191" t="inlineStr">
        <is>
          <t>No</t>
        </is>
      </c>
      <c r="B1191" t="inlineStr">
        <is>
          <t>BV895 .S54 2001</t>
        </is>
      </c>
      <c r="C1191" t="inlineStr">
        <is>
          <t>0                      BV 0895000S  54          2001</t>
        </is>
      </c>
      <c r="D1191" t="inlineStr">
        <is>
          <t>Spaces for the sacred : place, memory, and identity / Philip Sheldrake.</t>
        </is>
      </c>
      <c r="F1191" t="inlineStr">
        <is>
          <t>No</t>
        </is>
      </c>
      <c r="G1191" t="inlineStr">
        <is>
          <t>1</t>
        </is>
      </c>
      <c r="H1191" t="inlineStr">
        <is>
          <t>No</t>
        </is>
      </c>
      <c r="I1191" t="inlineStr">
        <is>
          <t>No</t>
        </is>
      </c>
      <c r="J1191" t="inlineStr">
        <is>
          <t>0</t>
        </is>
      </c>
      <c r="K1191" t="inlineStr">
        <is>
          <t>Sheldrake, Philip.</t>
        </is>
      </c>
      <c r="L1191" t="inlineStr">
        <is>
          <t>Baltimore : Johns Hopkins University Press, 2001.</t>
        </is>
      </c>
      <c r="M1191" t="inlineStr">
        <is>
          <t>2001</t>
        </is>
      </c>
      <c r="O1191" t="inlineStr">
        <is>
          <t>eng</t>
        </is>
      </c>
      <c r="P1191" t="inlineStr">
        <is>
          <t>mdu</t>
        </is>
      </c>
      <c r="R1191" t="inlineStr">
        <is>
          <t xml:space="preserve">BV </t>
        </is>
      </c>
      <c r="S1191" t="n">
        <v>2</v>
      </c>
      <c r="T1191" t="n">
        <v>2</v>
      </c>
      <c r="U1191" t="inlineStr">
        <is>
          <t>2008-01-02</t>
        </is>
      </c>
      <c r="V1191" t="inlineStr">
        <is>
          <t>2008-01-02</t>
        </is>
      </c>
      <c r="W1191" t="inlineStr">
        <is>
          <t>2005-11-16</t>
        </is>
      </c>
      <c r="X1191" t="inlineStr">
        <is>
          <t>2005-11-16</t>
        </is>
      </c>
      <c r="Y1191" t="n">
        <v>262</v>
      </c>
      <c r="Z1191" t="n">
        <v>210</v>
      </c>
      <c r="AA1191" t="n">
        <v>236</v>
      </c>
      <c r="AB1191" t="n">
        <v>4</v>
      </c>
      <c r="AC1191" t="n">
        <v>4</v>
      </c>
      <c r="AD1191" t="n">
        <v>28</v>
      </c>
      <c r="AE1191" t="n">
        <v>28</v>
      </c>
      <c r="AF1191" t="n">
        <v>12</v>
      </c>
      <c r="AG1191" t="n">
        <v>12</v>
      </c>
      <c r="AH1191" t="n">
        <v>2</v>
      </c>
      <c r="AI1191" t="n">
        <v>2</v>
      </c>
      <c r="AJ1191" t="n">
        <v>17</v>
      </c>
      <c r="AK1191" t="n">
        <v>17</v>
      </c>
      <c r="AL1191" t="n">
        <v>3</v>
      </c>
      <c r="AM1191" t="n">
        <v>3</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HYPERLINK("https://creighton-primo.hosted.exlibrisgroup.com/primo-explore/search?tab=default_tab&amp;search_scope=EVERYTHING&amp;vid=01CRU&amp;lang=en_US&amp;offset=0&amp;query=any,contains,991004685179702656","Catalog Record")</f>
        <v/>
      </c>
      <c r="AT1191">
        <f>HYPERLINK("http://www.worldcat.org/oclc/47240764","WorldCat Record")</f>
        <v/>
      </c>
      <c r="AU1191" t="inlineStr">
        <is>
          <t>837020693:eng</t>
        </is>
      </c>
      <c r="AV1191" t="inlineStr">
        <is>
          <t>47240764</t>
        </is>
      </c>
      <c r="AW1191" t="inlineStr">
        <is>
          <t>991004685179702656</t>
        </is>
      </c>
      <c r="AX1191" t="inlineStr">
        <is>
          <t>991004685179702656</t>
        </is>
      </c>
      <c r="AY1191" t="inlineStr">
        <is>
          <t>2258422770002656</t>
        </is>
      </c>
      <c r="AZ1191" t="inlineStr">
        <is>
          <t>BOOK</t>
        </is>
      </c>
      <c r="BB1191" t="inlineStr">
        <is>
          <t>9780801868610</t>
        </is>
      </c>
      <c r="BC1191" t="inlineStr">
        <is>
          <t>32285005147284</t>
        </is>
      </c>
      <c r="BD1191" t="inlineStr">
        <is>
          <t>893436594</t>
        </is>
      </c>
    </row>
    <row r="1192">
      <c r="A1192" t="inlineStr">
        <is>
          <t>No</t>
        </is>
      </c>
      <c r="B1192" t="inlineStr">
        <is>
          <t>BV896.P19 T39 1993</t>
        </is>
      </c>
      <c r="C1192" t="inlineStr">
        <is>
          <t>0                      BV 0896000P  19                 T  39          1993</t>
        </is>
      </c>
      <c r="D1192" t="inlineStr">
        <is>
          <t>Christians and the holy places : the myth of Jewish-Christian origins / Joan E. Taylor.</t>
        </is>
      </c>
      <c r="F1192" t="inlineStr">
        <is>
          <t>No</t>
        </is>
      </c>
      <c r="G1192" t="inlineStr">
        <is>
          <t>1</t>
        </is>
      </c>
      <c r="H1192" t="inlineStr">
        <is>
          <t>No</t>
        </is>
      </c>
      <c r="I1192" t="inlineStr">
        <is>
          <t>No</t>
        </is>
      </c>
      <c r="J1192" t="inlineStr">
        <is>
          <t>0</t>
        </is>
      </c>
      <c r="K1192" t="inlineStr">
        <is>
          <t>Taylor, Joan E.</t>
        </is>
      </c>
      <c r="L1192" t="inlineStr">
        <is>
          <t>Oxford : Clarendon Press ; Oxford ; New York : Oxford University Press, c1993.</t>
        </is>
      </c>
      <c r="M1192" t="inlineStr">
        <is>
          <t>1993</t>
        </is>
      </c>
      <c r="O1192" t="inlineStr">
        <is>
          <t>eng</t>
        </is>
      </c>
      <c r="P1192" t="inlineStr">
        <is>
          <t>enk</t>
        </is>
      </c>
      <c r="R1192" t="inlineStr">
        <is>
          <t xml:space="preserve">BV </t>
        </is>
      </c>
      <c r="S1192" t="n">
        <v>5</v>
      </c>
      <c r="T1192" t="n">
        <v>5</v>
      </c>
      <c r="U1192" t="inlineStr">
        <is>
          <t>1998-11-24</t>
        </is>
      </c>
      <c r="V1192" t="inlineStr">
        <is>
          <t>1998-11-24</t>
        </is>
      </c>
      <c r="W1192" t="inlineStr">
        <is>
          <t>1993-10-21</t>
        </is>
      </c>
      <c r="X1192" t="inlineStr">
        <is>
          <t>1993-10-21</t>
        </is>
      </c>
      <c r="Y1192" t="n">
        <v>377</v>
      </c>
      <c r="Z1192" t="n">
        <v>268</v>
      </c>
      <c r="AA1192" t="n">
        <v>268</v>
      </c>
      <c r="AB1192" t="n">
        <v>3</v>
      </c>
      <c r="AC1192" t="n">
        <v>3</v>
      </c>
      <c r="AD1192" t="n">
        <v>21</v>
      </c>
      <c r="AE1192" t="n">
        <v>21</v>
      </c>
      <c r="AF1192" t="n">
        <v>6</v>
      </c>
      <c r="AG1192" t="n">
        <v>6</v>
      </c>
      <c r="AH1192" t="n">
        <v>7</v>
      </c>
      <c r="AI1192" t="n">
        <v>7</v>
      </c>
      <c r="AJ1192" t="n">
        <v>11</v>
      </c>
      <c r="AK1192" t="n">
        <v>11</v>
      </c>
      <c r="AL1192" t="n">
        <v>2</v>
      </c>
      <c r="AM1192" t="n">
        <v>2</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HYPERLINK("https://creighton-primo.hosted.exlibrisgroup.com/primo-explore/search?tab=default_tab&amp;search_scope=EVERYTHING&amp;vid=01CRU&amp;lang=en_US&amp;offset=0&amp;query=any,contains,991002043739702656","Catalog Record")</f>
        <v/>
      </c>
      <c r="AT1192">
        <f>HYPERLINK("http://www.worldcat.org/oclc/26094341","WorldCat Record")</f>
        <v/>
      </c>
      <c r="AU1192" t="inlineStr">
        <is>
          <t>29066483:eng</t>
        </is>
      </c>
      <c r="AV1192" t="inlineStr">
        <is>
          <t>26094341</t>
        </is>
      </c>
      <c r="AW1192" t="inlineStr">
        <is>
          <t>991002043739702656</t>
        </is>
      </c>
      <c r="AX1192" t="inlineStr">
        <is>
          <t>991002043739702656</t>
        </is>
      </c>
      <c r="AY1192" t="inlineStr">
        <is>
          <t>2269245860002656</t>
        </is>
      </c>
      <c r="AZ1192" t="inlineStr">
        <is>
          <t>BOOK</t>
        </is>
      </c>
      <c r="BB1192" t="inlineStr">
        <is>
          <t>9780198147855</t>
        </is>
      </c>
      <c r="BC1192" t="inlineStr">
        <is>
          <t>32285001787190</t>
        </is>
      </c>
      <c r="BD1192" t="inlineStr">
        <is>
          <t>893232498</t>
        </is>
      </c>
    </row>
    <row r="1193">
      <c r="A1193" t="inlineStr">
        <is>
          <t>No</t>
        </is>
      </c>
      <c r="B1193" t="inlineStr">
        <is>
          <t>BV94 .M32 1944</t>
        </is>
      </c>
      <c r="C1193" t="inlineStr">
        <is>
          <t>0                      BV 0094000M  32          1944</t>
        </is>
      </c>
      <c r="D1193" t="inlineStr">
        <is>
          <t>The eucharist : the mystery of Holy Thursday / by François Mauriac, translated by Marie-Louise Dufrenoy, with an introduction by Thomas F. Burke, C. S. P.</t>
        </is>
      </c>
      <c r="F1193" t="inlineStr">
        <is>
          <t>No</t>
        </is>
      </c>
      <c r="G1193" t="inlineStr">
        <is>
          <t>1</t>
        </is>
      </c>
      <c r="H1193" t="inlineStr">
        <is>
          <t>No</t>
        </is>
      </c>
      <c r="I1193" t="inlineStr">
        <is>
          <t>No</t>
        </is>
      </c>
      <c r="J1193" t="inlineStr">
        <is>
          <t>0</t>
        </is>
      </c>
      <c r="K1193" t="inlineStr">
        <is>
          <t>Mauriac, François, 1885-1970.</t>
        </is>
      </c>
      <c r="L1193" t="inlineStr">
        <is>
          <t>New York ; Toronto : Longmans, Green and co., 1944.</t>
        </is>
      </c>
      <c r="M1193" t="inlineStr">
        <is>
          <t>1944</t>
        </is>
      </c>
      <c r="O1193" t="inlineStr">
        <is>
          <t>eng</t>
        </is>
      </c>
      <c r="P1193" t="inlineStr">
        <is>
          <t xml:space="preserve">xx </t>
        </is>
      </c>
      <c r="Q1193" t="inlineStr">
        <is>
          <t>Golden measure books</t>
        </is>
      </c>
      <c r="R1193" t="inlineStr">
        <is>
          <t xml:space="preserve">BV </t>
        </is>
      </c>
      <c r="S1193" t="n">
        <v>2</v>
      </c>
      <c r="T1193" t="n">
        <v>2</v>
      </c>
      <c r="U1193" t="inlineStr">
        <is>
          <t>1992-09-27</t>
        </is>
      </c>
      <c r="V1193" t="inlineStr">
        <is>
          <t>1992-09-27</t>
        </is>
      </c>
      <c r="W1193" t="inlineStr">
        <is>
          <t>1991-11-11</t>
        </is>
      </c>
      <c r="X1193" t="inlineStr">
        <is>
          <t>1991-11-11</t>
        </is>
      </c>
      <c r="Y1193" t="n">
        <v>180</v>
      </c>
      <c r="Z1193" t="n">
        <v>167</v>
      </c>
      <c r="AA1193" t="n">
        <v>285</v>
      </c>
      <c r="AB1193" t="n">
        <v>3</v>
      </c>
      <c r="AC1193" t="n">
        <v>3</v>
      </c>
      <c r="AD1193" t="n">
        <v>27</v>
      </c>
      <c r="AE1193" t="n">
        <v>32</v>
      </c>
      <c r="AF1193" t="n">
        <v>8</v>
      </c>
      <c r="AG1193" t="n">
        <v>11</v>
      </c>
      <c r="AH1193" t="n">
        <v>7</v>
      </c>
      <c r="AI1193" t="n">
        <v>8</v>
      </c>
      <c r="AJ1193" t="n">
        <v>20</v>
      </c>
      <c r="AK1193" t="n">
        <v>25</v>
      </c>
      <c r="AL1193" t="n">
        <v>0</v>
      </c>
      <c r="AM1193" t="n">
        <v>0</v>
      </c>
      <c r="AN1193" t="n">
        <v>0</v>
      </c>
      <c r="AO1193" t="n">
        <v>0</v>
      </c>
      <c r="AP1193" t="inlineStr">
        <is>
          <t>No</t>
        </is>
      </c>
      <c r="AQ1193" t="inlineStr">
        <is>
          <t>Yes</t>
        </is>
      </c>
      <c r="AR1193">
        <f>HYPERLINK("http://catalog.hathitrust.org/Record/006574458","HathiTrust Record")</f>
        <v/>
      </c>
      <c r="AS1193">
        <f>HYPERLINK("https://creighton-primo.hosted.exlibrisgroup.com/primo-explore/search?tab=default_tab&amp;search_scope=EVERYTHING&amp;vid=01CRU&amp;lang=en_US&amp;offset=0&amp;query=any,contains,991002701689702656","Catalog Record")</f>
        <v/>
      </c>
      <c r="AT1193">
        <f>HYPERLINK("http://www.worldcat.org/oclc/405815","WorldCat Record")</f>
        <v/>
      </c>
      <c r="AU1193" t="inlineStr">
        <is>
          <t>1432226:eng</t>
        </is>
      </c>
      <c r="AV1193" t="inlineStr">
        <is>
          <t>405815</t>
        </is>
      </c>
      <c r="AW1193" t="inlineStr">
        <is>
          <t>991002701689702656</t>
        </is>
      </c>
      <c r="AX1193" t="inlineStr">
        <is>
          <t>991002701689702656</t>
        </is>
      </c>
      <c r="AY1193" t="inlineStr">
        <is>
          <t>2260453570002656</t>
        </is>
      </c>
      <c r="AZ1193" t="inlineStr">
        <is>
          <t>BOOK</t>
        </is>
      </c>
      <c r="BC1193" t="inlineStr">
        <is>
          <t>32285000835297</t>
        </is>
      </c>
      <c r="BD1193" t="inlineStr">
        <is>
          <t>893329421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